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07.125\FKR_Share\Общий отдел\#Казаков\!Общая папка\от Сафроновой\1349-рп от 03.10.2025\"/>
    </mc:Choice>
  </mc:AlternateContent>
  <xr:revisionPtr revIDLastSave="0" documentId="13_ncr:1_{4145956E-CAA2-4FC6-8CF8-869A902F96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Лист1!$A$8:$AD$2759</definedName>
    <definedName name="_xlnm.Print_Titles" localSheetId="0">Лист1!$7:$7</definedName>
    <definedName name="_xlnm.Print_Area" localSheetId="0">Лист1!$A$1:$AD$2759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83" i="1" l="1"/>
  <c r="AD2113" i="1" l="1"/>
  <c r="I2113" i="1"/>
  <c r="K2113" i="1"/>
  <c r="L2113" i="1"/>
  <c r="M2113" i="1"/>
  <c r="N2113" i="1"/>
  <c r="P2113" i="1"/>
  <c r="R2113" i="1"/>
  <c r="T2113" i="1"/>
  <c r="U2113" i="1"/>
  <c r="V2113" i="1"/>
  <c r="W2113" i="1"/>
  <c r="X2113" i="1"/>
  <c r="Y2113" i="1"/>
  <c r="Z2113" i="1"/>
  <c r="AA2113" i="1"/>
  <c r="AB2113" i="1"/>
  <c r="AC2113" i="1"/>
  <c r="K2097" i="1"/>
  <c r="L2097" i="1"/>
  <c r="M2097" i="1"/>
  <c r="N2097" i="1"/>
  <c r="P2097" i="1"/>
  <c r="R2097" i="1"/>
  <c r="T2097" i="1"/>
  <c r="U2097" i="1"/>
  <c r="V2097" i="1"/>
  <c r="W2097" i="1"/>
  <c r="X2097" i="1"/>
  <c r="Y2097" i="1"/>
  <c r="Z2097" i="1"/>
  <c r="AA2097" i="1"/>
  <c r="AB2097" i="1"/>
  <c r="AC2097" i="1"/>
  <c r="AD2097" i="1"/>
  <c r="F2065" i="1"/>
  <c r="G2065" i="1"/>
  <c r="H2065" i="1"/>
  <c r="I2065" i="1"/>
  <c r="J2065" i="1"/>
  <c r="K2065" i="1"/>
  <c r="L2065" i="1"/>
  <c r="N2065" i="1"/>
  <c r="P2065" i="1"/>
  <c r="R2065" i="1"/>
  <c r="T2065" i="1"/>
  <c r="U2065" i="1"/>
  <c r="V2065" i="1"/>
  <c r="W2065" i="1"/>
  <c r="X2065" i="1"/>
  <c r="Y2065" i="1"/>
  <c r="Z2065" i="1"/>
  <c r="AA2065" i="1"/>
  <c r="AB2065" i="1"/>
  <c r="AC2065" i="1"/>
  <c r="AD2065" i="1"/>
  <c r="G2055" i="1"/>
  <c r="I2055" i="1"/>
  <c r="K2055" i="1"/>
  <c r="L2055" i="1"/>
  <c r="M2055" i="1"/>
  <c r="N2055" i="1"/>
  <c r="P2055" i="1"/>
  <c r="R2055" i="1"/>
  <c r="T2055" i="1"/>
  <c r="U2055" i="1"/>
  <c r="V2055" i="1"/>
  <c r="W2055" i="1"/>
  <c r="X2055" i="1"/>
  <c r="Y2055" i="1"/>
  <c r="Z2055" i="1"/>
  <c r="AA2055" i="1"/>
  <c r="AB2055" i="1"/>
  <c r="AC2055" i="1"/>
  <c r="AD2055" i="1"/>
  <c r="K2002" i="1"/>
  <c r="L2002" i="1"/>
  <c r="M2002" i="1"/>
  <c r="N2002" i="1"/>
  <c r="P2002" i="1"/>
  <c r="R2002" i="1"/>
  <c r="T2002" i="1"/>
  <c r="U2002" i="1"/>
  <c r="V2002" i="1"/>
  <c r="W2002" i="1"/>
  <c r="X2002" i="1"/>
  <c r="Y2002" i="1"/>
  <c r="Z2002" i="1"/>
  <c r="AA2002" i="1"/>
  <c r="AB2002" i="1"/>
  <c r="AC2002" i="1"/>
  <c r="AD2002" i="1"/>
  <c r="K1902" i="1"/>
  <c r="L1902" i="1"/>
  <c r="N1902" i="1"/>
  <c r="P1902" i="1"/>
  <c r="R1902" i="1"/>
  <c r="T1902" i="1"/>
  <c r="U1902" i="1"/>
  <c r="V1902" i="1"/>
  <c r="W1902" i="1"/>
  <c r="X1902" i="1"/>
  <c r="Y1902" i="1"/>
  <c r="Z1902" i="1"/>
  <c r="AA1902" i="1"/>
  <c r="AB1902" i="1"/>
  <c r="AC1902" i="1"/>
  <c r="AD1902" i="1"/>
  <c r="I1891" i="1"/>
  <c r="K1891" i="1"/>
  <c r="L1891" i="1"/>
  <c r="M1891" i="1"/>
  <c r="N1891" i="1"/>
  <c r="P1891" i="1"/>
  <c r="R1891" i="1"/>
  <c r="T1891" i="1"/>
  <c r="U1891" i="1"/>
  <c r="V1891" i="1"/>
  <c r="W1891" i="1"/>
  <c r="X1891" i="1"/>
  <c r="Y1891" i="1"/>
  <c r="Z1891" i="1"/>
  <c r="AA1891" i="1"/>
  <c r="AB1891" i="1"/>
  <c r="AC1891" i="1"/>
  <c r="AD1891" i="1"/>
  <c r="I1856" i="1"/>
  <c r="K1856" i="1"/>
  <c r="L1856" i="1"/>
  <c r="M1856" i="1"/>
  <c r="N1856" i="1"/>
  <c r="P1856" i="1"/>
  <c r="R1856" i="1"/>
  <c r="T1856" i="1"/>
  <c r="U1856" i="1"/>
  <c r="V1856" i="1"/>
  <c r="W1856" i="1"/>
  <c r="X1856" i="1"/>
  <c r="Y1856" i="1"/>
  <c r="Z1856" i="1"/>
  <c r="AA1856" i="1"/>
  <c r="AB1856" i="1"/>
  <c r="AC1856" i="1"/>
  <c r="AD1856" i="1"/>
  <c r="I1837" i="1"/>
  <c r="K1837" i="1"/>
  <c r="L1837" i="1"/>
  <c r="M1837" i="1"/>
  <c r="N1837" i="1"/>
  <c r="P1837" i="1"/>
  <c r="R1837" i="1"/>
  <c r="T1837" i="1"/>
  <c r="U1837" i="1"/>
  <c r="V1837" i="1"/>
  <c r="W1837" i="1"/>
  <c r="X1837" i="1"/>
  <c r="Y1837" i="1"/>
  <c r="Z1837" i="1"/>
  <c r="AA1837" i="1"/>
  <c r="AB1837" i="1"/>
  <c r="AC1837" i="1"/>
  <c r="AD1837" i="1"/>
  <c r="K1790" i="1"/>
  <c r="L1790" i="1"/>
  <c r="M1790" i="1"/>
  <c r="N1790" i="1"/>
  <c r="P1790" i="1"/>
  <c r="R1790" i="1"/>
  <c r="T1790" i="1"/>
  <c r="U1790" i="1"/>
  <c r="V1790" i="1"/>
  <c r="W1790" i="1"/>
  <c r="X1790" i="1"/>
  <c r="Y1790" i="1"/>
  <c r="Z1790" i="1"/>
  <c r="AA1790" i="1"/>
  <c r="AB1790" i="1"/>
  <c r="AC1790" i="1"/>
  <c r="AD1790" i="1"/>
  <c r="K1523" i="1"/>
  <c r="L1523" i="1"/>
  <c r="N1523" i="1"/>
  <c r="P1523" i="1"/>
  <c r="R1523" i="1"/>
  <c r="T1523" i="1"/>
  <c r="U1523" i="1"/>
  <c r="V1523" i="1"/>
  <c r="W1523" i="1"/>
  <c r="X1523" i="1"/>
  <c r="Y1523" i="1"/>
  <c r="Z1523" i="1"/>
  <c r="AA1523" i="1"/>
  <c r="AB1523" i="1"/>
  <c r="AC1523" i="1"/>
  <c r="AD1523" i="1"/>
  <c r="K1470" i="1"/>
  <c r="L1470" i="1"/>
  <c r="N1470" i="1"/>
  <c r="P1470" i="1"/>
  <c r="R1470" i="1"/>
  <c r="T1470" i="1"/>
  <c r="U1470" i="1"/>
  <c r="V1470" i="1"/>
  <c r="W1470" i="1"/>
  <c r="X1470" i="1"/>
  <c r="Y1470" i="1"/>
  <c r="Z1470" i="1"/>
  <c r="AA1470" i="1"/>
  <c r="AB1470" i="1"/>
  <c r="AC1470" i="1"/>
  <c r="AD1470" i="1"/>
  <c r="K1441" i="1"/>
  <c r="L1441" i="1"/>
  <c r="M1441" i="1"/>
  <c r="N1441" i="1"/>
  <c r="P1441" i="1"/>
  <c r="R1441" i="1"/>
  <c r="T1441" i="1"/>
  <c r="U1441" i="1"/>
  <c r="V1441" i="1"/>
  <c r="W1441" i="1"/>
  <c r="X1441" i="1"/>
  <c r="Y1441" i="1"/>
  <c r="Z1441" i="1"/>
  <c r="AA1441" i="1"/>
  <c r="AB1441" i="1"/>
  <c r="AC1441" i="1"/>
  <c r="AD1441" i="1"/>
  <c r="K1404" i="1"/>
  <c r="L1404" i="1"/>
  <c r="N1404" i="1"/>
  <c r="P1404" i="1"/>
  <c r="R1404" i="1"/>
  <c r="T1404" i="1"/>
  <c r="U1404" i="1"/>
  <c r="V1404" i="1"/>
  <c r="W1404" i="1"/>
  <c r="X1404" i="1"/>
  <c r="Y1404" i="1"/>
  <c r="Z1404" i="1"/>
  <c r="AA1404" i="1"/>
  <c r="AB1404" i="1"/>
  <c r="AC1404" i="1"/>
  <c r="AD1404" i="1"/>
  <c r="I1386" i="1"/>
  <c r="K1386" i="1"/>
  <c r="L1386" i="1"/>
  <c r="M1386" i="1"/>
  <c r="N1386" i="1"/>
  <c r="P1386" i="1"/>
  <c r="R1386" i="1"/>
  <c r="T1386" i="1"/>
  <c r="U1386" i="1"/>
  <c r="V1386" i="1"/>
  <c r="W1386" i="1"/>
  <c r="X1386" i="1"/>
  <c r="Y1386" i="1"/>
  <c r="Z1386" i="1"/>
  <c r="AA1386" i="1"/>
  <c r="AB1386" i="1"/>
  <c r="AC1386" i="1"/>
  <c r="AD1386" i="1"/>
  <c r="K1374" i="1"/>
  <c r="L1374" i="1"/>
  <c r="M1374" i="1"/>
  <c r="N1374" i="1"/>
  <c r="P1374" i="1"/>
  <c r="R1374" i="1"/>
  <c r="T1374" i="1"/>
  <c r="U1374" i="1"/>
  <c r="V1374" i="1"/>
  <c r="W1374" i="1"/>
  <c r="X1374" i="1"/>
  <c r="Y1374" i="1"/>
  <c r="Z1374" i="1"/>
  <c r="AA1374" i="1"/>
  <c r="AB1374" i="1"/>
  <c r="AC1374" i="1"/>
  <c r="AD1374" i="1"/>
  <c r="K1366" i="1"/>
  <c r="L1366" i="1"/>
  <c r="M1366" i="1"/>
  <c r="N1366" i="1"/>
  <c r="P1366" i="1"/>
  <c r="R1366" i="1"/>
  <c r="T1366" i="1"/>
  <c r="U1366" i="1"/>
  <c r="V1366" i="1"/>
  <c r="W1366" i="1"/>
  <c r="X1366" i="1"/>
  <c r="Y1366" i="1"/>
  <c r="Z1366" i="1"/>
  <c r="AA1366" i="1"/>
  <c r="AB1366" i="1"/>
  <c r="AC1366" i="1"/>
  <c r="AD1366" i="1"/>
  <c r="H1363" i="1"/>
  <c r="I1363" i="1"/>
  <c r="J1363" i="1"/>
  <c r="K1363" i="1"/>
  <c r="L1363" i="1"/>
  <c r="M1363" i="1"/>
  <c r="N1363" i="1"/>
  <c r="O1363" i="1"/>
  <c r="P1363" i="1"/>
  <c r="Q1363" i="1"/>
  <c r="R1363" i="1"/>
  <c r="S1363" i="1"/>
  <c r="T1363" i="1"/>
  <c r="U1363" i="1"/>
  <c r="V1363" i="1"/>
  <c r="W1363" i="1"/>
  <c r="X1363" i="1"/>
  <c r="Y1363" i="1"/>
  <c r="Z1363" i="1"/>
  <c r="AA1363" i="1"/>
  <c r="AB1363" i="1"/>
  <c r="AC1363" i="1"/>
  <c r="AD1363" i="1"/>
  <c r="G1360" i="1"/>
  <c r="I1360" i="1"/>
  <c r="K1360" i="1"/>
  <c r="L1360" i="1"/>
  <c r="M1360" i="1"/>
  <c r="N1360" i="1"/>
  <c r="P1360" i="1"/>
  <c r="R1360" i="1"/>
  <c r="T1360" i="1"/>
  <c r="U1360" i="1"/>
  <c r="V1360" i="1"/>
  <c r="W1360" i="1"/>
  <c r="X1360" i="1"/>
  <c r="Y1360" i="1"/>
  <c r="Z1360" i="1"/>
  <c r="AA1360" i="1"/>
  <c r="AB1360" i="1"/>
  <c r="AC1360" i="1"/>
  <c r="AD1360" i="1"/>
  <c r="K1347" i="1"/>
  <c r="L1347" i="1"/>
  <c r="M1347" i="1"/>
  <c r="N1347" i="1"/>
  <c r="P1347" i="1"/>
  <c r="R1347" i="1"/>
  <c r="T1347" i="1"/>
  <c r="U1347" i="1"/>
  <c r="V1347" i="1"/>
  <c r="W1347" i="1"/>
  <c r="X1347" i="1"/>
  <c r="Y1347" i="1"/>
  <c r="Z1347" i="1"/>
  <c r="AA1347" i="1"/>
  <c r="AB1347" i="1"/>
  <c r="AC1347" i="1"/>
  <c r="AD1347" i="1"/>
  <c r="I1342" i="1"/>
  <c r="K1342" i="1"/>
  <c r="L1342" i="1"/>
  <c r="M1342" i="1"/>
  <c r="N1342" i="1"/>
  <c r="O1342" i="1"/>
  <c r="P1342" i="1"/>
  <c r="Q1342" i="1"/>
  <c r="R1342" i="1"/>
  <c r="T1342" i="1"/>
  <c r="U1342" i="1"/>
  <c r="V1342" i="1"/>
  <c r="W1342" i="1"/>
  <c r="X1342" i="1"/>
  <c r="Y1342" i="1"/>
  <c r="Z1342" i="1"/>
  <c r="AA1342" i="1"/>
  <c r="AB1342" i="1"/>
  <c r="AC1342" i="1"/>
  <c r="AD1342" i="1"/>
  <c r="K1323" i="1"/>
  <c r="L1323" i="1"/>
  <c r="M1323" i="1"/>
  <c r="N1323" i="1"/>
  <c r="P1323" i="1"/>
  <c r="R1323" i="1"/>
  <c r="T1323" i="1"/>
  <c r="U1323" i="1"/>
  <c r="V1323" i="1"/>
  <c r="W1323" i="1"/>
  <c r="X1323" i="1"/>
  <c r="Y1323" i="1"/>
  <c r="Z1323" i="1"/>
  <c r="AA1323" i="1"/>
  <c r="AB1323" i="1"/>
  <c r="AC1323" i="1"/>
  <c r="AD1323" i="1"/>
  <c r="F1296" i="1"/>
  <c r="G1296" i="1"/>
  <c r="H1296" i="1"/>
  <c r="I1296" i="1"/>
  <c r="J1296" i="1"/>
  <c r="K1296" i="1"/>
  <c r="L1296" i="1"/>
  <c r="N1296" i="1"/>
  <c r="O1296" i="1"/>
  <c r="P1296" i="1"/>
  <c r="R1296" i="1"/>
  <c r="T1296" i="1"/>
  <c r="U1296" i="1"/>
  <c r="V1296" i="1"/>
  <c r="W1296" i="1"/>
  <c r="X1296" i="1"/>
  <c r="Y1296" i="1"/>
  <c r="Z1296" i="1"/>
  <c r="AA1296" i="1"/>
  <c r="AB1296" i="1"/>
  <c r="AC1296" i="1"/>
  <c r="AD1296" i="1"/>
  <c r="G1288" i="1"/>
  <c r="I1288" i="1"/>
  <c r="K1288" i="1"/>
  <c r="L1288" i="1"/>
  <c r="M1288" i="1"/>
  <c r="N1288" i="1"/>
  <c r="P1288" i="1"/>
  <c r="R1288" i="1"/>
  <c r="T1288" i="1"/>
  <c r="U1288" i="1"/>
  <c r="V1288" i="1"/>
  <c r="W1288" i="1"/>
  <c r="X1288" i="1"/>
  <c r="Y1288" i="1"/>
  <c r="Z1288" i="1"/>
  <c r="AA1288" i="1"/>
  <c r="AB1288" i="1"/>
  <c r="AC1288" i="1"/>
  <c r="AD1288" i="1"/>
  <c r="K1269" i="1"/>
  <c r="L1269" i="1"/>
  <c r="N1269" i="1"/>
  <c r="P1269" i="1"/>
  <c r="R1269" i="1"/>
  <c r="T1269" i="1"/>
  <c r="U1269" i="1"/>
  <c r="V1269" i="1"/>
  <c r="W1269" i="1"/>
  <c r="X1269" i="1"/>
  <c r="Y1269" i="1"/>
  <c r="Z1269" i="1"/>
  <c r="AA1269" i="1"/>
  <c r="AB1269" i="1"/>
  <c r="AC1269" i="1"/>
  <c r="AD1269" i="1"/>
  <c r="K1193" i="1"/>
  <c r="L1193" i="1"/>
  <c r="N1193" i="1"/>
  <c r="P1193" i="1"/>
  <c r="R1193" i="1"/>
  <c r="T1193" i="1"/>
  <c r="U1193" i="1"/>
  <c r="V1193" i="1"/>
  <c r="W1193" i="1"/>
  <c r="X1193" i="1"/>
  <c r="Y1193" i="1"/>
  <c r="Z1193" i="1"/>
  <c r="AA1193" i="1"/>
  <c r="AB1193" i="1"/>
  <c r="AC1193" i="1"/>
  <c r="AD1193" i="1"/>
  <c r="I1187" i="1"/>
  <c r="K1187" i="1"/>
  <c r="L1187" i="1"/>
  <c r="M1187" i="1"/>
  <c r="N1187" i="1"/>
  <c r="P1187" i="1"/>
  <c r="R1187" i="1"/>
  <c r="T1187" i="1"/>
  <c r="U1187" i="1"/>
  <c r="V1187" i="1"/>
  <c r="W1187" i="1"/>
  <c r="X1187" i="1"/>
  <c r="Y1187" i="1"/>
  <c r="Z1187" i="1"/>
  <c r="AA1187" i="1"/>
  <c r="AB1187" i="1"/>
  <c r="AC1187" i="1"/>
  <c r="AD1187" i="1"/>
  <c r="K1096" i="1"/>
  <c r="L1096" i="1"/>
  <c r="N1096" i="1"/>
  <c r="P1096" i="1"/>
  <c r="R1096" i="1"/>
  <c r="T1096" i="1"/>
  <c r="U1096" i="1"/>
  <c r="V1096" i="1"/>
  <c r="W1096" i="1"/>
  <c r="X1096" i="1"/>
  <c r="Y1096" i="1"/>
  <c r="Z1096" i="1"/>
  <c r="AA1096" i="1"/>
  <c r="AB1096" i="1"/>
  <c r="AC1096" i="1"/>
  <c r="AD1096" i="1"/>
  <c r="K1075" i="1"/>
  <c r="L1075" i="1"/>
  <c r="M1075" i="1"/>
  <c r="N1075" i="1"/>
  <c r="P1075" i="1"/>
  <c r="R1075" i="1"/>
  <c r="T1075" i="1"/>
  <c r="U1075" i="1"/>
  <c r="V1075" i="1"/>
  <c r="W1075" i="1"/>
  <c r="X1075" i="1"/>
  <c r="Y1075" i="1"/>
  <c r="Z1075" i="1"/>
  <c r="AA1075" i="1"/>
  <c r="AB1075" i="1"/>
  <c r="AC1075" i="1"/>
  <c r="AD1075" i="1"/>
  <c r="I1069" i="1"/>
  <c r="J1069" i="1"/>
  <c r="K1069" i="1"/>
  <c r="L1069" i="1"/>
  <c r="M1069" i="1"/>
  <c r="N1069" i="1"/>
  <c r="P1069" i="1"/>
  <c r="R1069" i="1"/>
  <c r="T1069" i="1"/>
  <c r="U1069" i="1"/>
  <c r="V1069" i="1"/>
  <c r="W1069" i="1"/>
  <c r="X1069" i="1"/>
  <c r="Y1069" i="1"/>
  <c r="Z1069" i="1"/>
  <c r="AA1069" i="1"/>
  <c r="AB1069" i="1"/>
  <c r="AC1069" i="1"/>
  <c r="AD1069" i="1"/>
  <c r="I1060" i="1"/>
  <c r="K1060" i="1"/>
  <c r="L1060" i="1"/>
  <c r="M1060" i="1"/>
  <c r="N1060" i="1"/>
  <c r="P1060" i="1"/>
  <c r="R1060" i="1"/>
  <c r="T1060" i="1"/>
  <c r="U1060" i="1"/>
  <c r="V1060" i="1"/>
  <c r="W1060" i="1"/>
  <c r="X1060" i="1"/>
  <c r="Y1060" i="1"/>
  <c r="Z1060" i="1"/>
  <c r="AA1060" i="1"/>
  <c r="AB1060" i="1"/>
  <c r="AC1060" i="1"/>
  <c r="AD1060" i="1"/>
  <c r="K1054" i="1"/>
  <c r="L1054" i="1"/>
  <c r="M1054" i="1"/>
  <c r="N1054" i="1"/>
  <c r="P1054" i="1"/>
  <c r="R1054" i="1"/>
  <c r="T1054" i="1"/>
  <c r="U1054" i="1"/>
  <c r="V1054" i="1"/>
  <c r="W1054" i="1"/>
  <c r="X1054" i="1"/>
  <c r="Y1054" i="1"/>
  <c r="Z1054" i="1"/>
  <c r="AA1054" i="1"/>
  <c r="AB1054" i="1"/>
  <c r="AC1054" i="1"/>
  <c r="AD1054" i="1"/>
  <c r="K1018" i="1"/>
  <c r="L1018" i="1"/>
  <c r="M1018" i="1"/>
  <c r="N1018" i="1"/>
  <c r="P1018" i="1"/>
  <c r="R1018" i="1"/>
  <c r="T1018" i="1"/>
  <c r="U1018" i="1"/>
  <c r="V1018" i="1"/>
  <c r="W1018" i="1"/>
  <c r="X1018" i="1"/>
  <c r="Y1018" i="1"/>
  <c r="Z1018" i="1"/>
  <c r="AA1018" i="1"/>
  <c r="AB1018" i="1"/>
  <c r="AC1018" i="1"/>
  <c r="AD1018" i="1"/>
  <c r="K366" i="1"/>
  <c r="L366" i="1"/>
  <c r="N366" i="1"/>
  <c r="P366" i="1"/>
  <c r="R366" i="1"/>
  <c r="T366" i="1"/>
  <c r="U366" i="1"/>
  <c r="V366" i="1"/>
  <c r="W366" i="1"/>
  <c r="X366" i="1"/>
  <c r="Y366" i="1"/>
  <c r="Z366" i="1"/>
  <c r="AA366" i="1"/>
  <c r="AB366" i="1"/>
  <c r="AC366" i="1"/>
  <c r="AD366" i="1"/>
  <c r="K288" i="1"/>
  <c r="L288" i="1"/>
  <c r="N288" i="1"/>
  <c r="P288" i="1"/>
  <c r="R288" i="1"/>
  <c r="T288" i="1"/>
  <c r="U288" i="1"/>
  <c r="V288" i="1"/>
  <c r="W288" i="1"/>
  <c r="X288" i="1"/>
  <c r="Y288" i="1"/>
  <c r="Z288" i="1"/>
  <c r="AA288" i="1"/>
  <c r="AB288" i="1"/>
  <c r="AC288" i="1"/>
  <c r="AD288" i="1"/>
  <c r="K265" i="1"/>
  <c r="L265" i="1"/>
  <c r="N265" i="1"/>
  <c r="P265" i="1"/>
  <c r="R265" i="1"/>
  <c r="T265" i="1"/>
  <c r="U265" i="1"/>
  <c r="V265" i="1"/>
  <c r="W265" i="1"/>
  <c r="X265" i="1"/>
  <c r="Y265" i="1"/>
  <c r="Z265" i="1"/>
  <c r="AA265" i="1"/>
  <c r="AB265" i="1"/>
  <c r="AC265" i="1"/>
  <c r="AD265" i="1"/>
  <c r="K222" i="1"/>
  <c r="L222" i="1"/>
  <c r="N222" i="1"/>
  <c r="P222" i="1"/>
  <c r="R222" i="1"/>
  <c r="T222" i="1"/>
  <c r="U222" i="1"/>
  <c r="V222" i="1"/>
  <c r="W222" i="1"/>
  <c r="X222" i="1"/>
  <c r="Y222" i="1"/>
  <c r="Z222" i="1"/>
  <c r="AA222" i="1"/>
  <c r="AB222" i="1"/>
  <c r="AC222" i="1"/>
  <c r="AD222" i="1"/>
  <c r="K183" i="1"/>
  <c r="L183" i="1"/>
  <c r="M183" i="1"/>
  <c r="N183" i="1"/>
  <c r="P183" i="1"/>
  <c r="R183" i="1"/>
  <c r="T183" i="1"/>
  <c r="U183" i="1"/>
  <c r="V183" i="1"/>
  <c r="W183" i="1"/>
  <c r="X183" i="1"/>
  <c r="Y183" i="1"/>
  <c r="Z183" i="1"/>
  <c r="AA183" i="1"/>
  <c r="AB183" i="1"/>
  <c r="AC183" i="1"/>
  <c r="AD183" i="1"/>
  <c r="G180" i="1"/>
  <c r="I180" i="1"/>
  <c r="K180" i="1"/>
  <c r="L180" i="1"/>
  <c r="M180" i="1"/>
  <c r="N180" i="1"/>
  <c r="P180" i="1"/>
  <c r="R180" i="1"/>
  <c r="T180" i="1"/>
  <c r="U180" i="1"/>
  <c r="V180" i="1"/>
  <c r="W180" i="1"/>
  <c r="X180" i="1"/>
  <c r="Y180" i="1"/>
  <c r="Z180" i="1"/>
  <c r="AA180" i="1"/>
  <c r="AB180" i="1"/>
  <c r="AC180" i="1"/>
  <c r="AD180" i="1"/>
  <c r="K166" i="1"/>
  <c r="L166" i="1"/>
  <c r="M166" i="1"/>
  <c r="N166" i="1"/>
  <c r="P166" i="1"/>
  <c r="R166" i="1"/>
  <c r="T166" i="1"/>
  <c r="U166" i="1"/>
  <c r="V166" i="1"/>
  <c r="W166" i="1"/>
  <c r="X166" i="1"/>
  <c r="Y166" i="1"/>
  <c r="Z166" i="1"/>
  <c r="AA166" i="1"/>
  <c r="AB166" i="1"/>
  <c r="AC166" i="1"/>
  <c r="AD166" i="1"/>
  <c r="I156" i="1"/>
  <c r="K156" i="1"/>
  <c r="L156" i="1"/>
  <c r="M156" i="1"/>
  <c r="N156" i="1"/>
  <c r="P156" i="1"/>
  <c r="R156" i="1"/>
  <c r="T156" i="1"/>
  <c r="U156" i="1"/>
  <c r="V156" i="1"/>
  <c r="W156" i="1"/>
  <c r="X156" i="1"/>
  <c r="Y156" i="1"/>
  <c r="Z156" i="1"/>
  <c r="AA156" i="1"/>
  <c r="AB156" i="1"/>
  <c r="AC156" i="1"/>
  <c r="AD156" i="1"/>
  <c r="G153" i="1"/>
  <c r="H153" i="1"/>
  <c r="I153" i="1"/>
  <c r="J153" i="1"/>
  <c r="K153" i="1"/>
  <c r="L153" i="1"/>
  <c r="M153" i="1"/>
  <c r="N153" i="1"/>
  <c r="P153" i="1"/>
  <c r="R153" i="1"/>
  <c r="T153" i="1"/>
  <c r="U153" i="1"/>
  <c r="V153" i="1"/>
  <c r="W153" i="1"/>
  <c r="X153" i="1"/>
  <c r="Y153" i="1"/>
  <c r="Z153" i="1"/>
  <c r="AA153" i="1"/>
  <c r="AB153" i="1"/>
  <c r="AC153" i="1"/>
  <c r="AD153" i="1"/>
  <c r="G148" i="1"/>
  <c r="I148" i="1"/>
  <c r="K148" i="1"/>
  <c r="L148" i="1"/>
  <c r="M148" i="1"/>
  <c r="N148" i="1"/>
  <c r="P148" i="1"/>
  <c r="R148" i="1"/>
  <c r="T148" i="1"/>
  <c r="U148" i="1"/>
  <c r="V148" i="1"/>
  <c r="W148" i="1"/>
  <c r="X148" i="1"/>
  <c r="Y148" i="1"/>
  <c r="Z148" i="1"/>
  <c r="AA148" i="1"/>
  <c r="AB148" i="1"/>
  <c r="AC148" i="1"/>
  <c r="AD148" i="1"/>
  <c r="H130" i="1"/>
  <c r="I130" i="1"/>
  <c r="J130" i="1"/>
  <c r="K130" i="1"/>
  <c r="L130" i="1"/>
  <c r="M130" i="1"/>
  <c r="N130" i="1"/>
  <c r="P130" i="1"/>
  <c r="R130" i="1"/>
  <c r="T130" i="1"/>
  <c r="U130" i="1"/>
  <c r="V130" i="1"/>
  <c r="W130" i="1"/>
  <c r="X130" i="1"/>
  <c r="Y130" i="1"/>
  <c r="Z130" i="1"/>
  <c r="AA130" i="1"/>
  <c r="AB130" i="1"/>
  <c r="AC130" i="1"/>
  <c r="AD130" i="1"/>
  <c r="G126" i="1"/>
  <c r="I126" i="1"/>
  <c r="K126" i="1"/>
  <c r="L126" i="1"/>
  <c r="N126" i="1"/>
  <c r="P126" i="1"/>
  <c r="R126" i="1"/>
  <c r="T126" i="1"/>
  <c r="U126" i="1"/>
  <c r="V126" i="1"/>
  <c r="W126" i="1"/>
  <c r="X126" i="1"/>
  <c r="Y126" i="1"/>
  <c r="Z126" i="1"/>
  <c r="AA126" i="1"/>
  <c r="AB126" i="1"/>
  <c r="AC126" i="1"/>
  <c r="AD126" i="1"/>
  <c r="AD84" i="1"/>
  <c r="K84" i="1"/>
  <c r="L84" i="1"/>
  <c r="M84" i="1"/>
  <c r="N84" i="1"/>
  <c r="P84" i="1"/>
  <c r="R84" i="1"/>
  <c r="T84" i="1"/>
  <c r="U84" i="1"/>
  <c r="V84" i="1"/>
  <c r="W84" i="1"/>
  <c r="X84" i="1"/>
  <c r="Y84" i="1"/>
  <c r="Z84" i="1"/>
  <c r="AA84" i="1"/>
  <c r="AB84" i="1"/>
  <c r="AC84" i="1"/>
  <c r="AD81" i="1"/>
  <c r="K81" i="1"/>
  <c r="L81" i="1"/>
  <c r="N81" i="1"/>
  <c r="O81" i="1"/>
  <c r="P81" i="1"/>
  <c r="R81" i="1"/>
  <c r="T81" i="1"/>
  <c r="U81" i="1"/>
  <c r="V81" i="1"/>
  <c r="W81" i="1"/>
  <c r="X81" i="1"/>
  <c r="Y81" i="1"/>
  <c r="Z81" i="1"/>
  <c r="AA81" i="1"/>
  <c r="AB81" i="1"/>
  <c r="AC81" i="1"/>
  <c r="G75" i="1"/>
  <c r="I75" i="1"/>
  <c r="K75" i="1"/>
  <c r="L75" i="1"/>
  <c r="M75" i="1"/>
  <c r="N75" i="1"/>
  <c r="P75" i="1"/>
  <c r="R75" i="1"/>
  <c r="T75" i="1"/>
  <c r="U75" i="1"/>
  <c r="V75" i="1"/>
  <c r="W75" i="1"/>
  <c r="X75" i="1"/>
  <c r="Y75" i="1"/>
  <c r="Z75" i="1"/>
  <c r="AA75" i="1"/>
  <c r="AB75" i="1"/>
  <c r="AC75" i="1"/>
  <c r="AD75" i="1"/>
  <c r="K72" i="1"/>
  <c r="L72" i="1"/>
  <c r="M72" i="1"/>
  <c r="N72" i="1"/>
  <c r="P72" i="1"/>
  <c r="R72" i="1"/>
  <c r="T72" i="1"/>
  <c r="U72" i="1"/>
  <c r="V72" i="1"/>
  <c r="W72" i="1"/>
  <c r="X72" i="1"/>
  <c r="Y72" i="1"/>
  <c r="Z72" i="1"/>
  <c r="AA72" i="1"/>
  <c r="AB72" i="1"/>
  <c r="AC72" i="1"/>
  <c r="AD72" i="1"/>
  <c r="K58" i="1"/>
  <c r="L58" i="1"/>
  <c r="N58" i="1"/>
  <c r="P58" i="1"/>
  <c r="R58" i="1"/>
  <c r="T58" i="1"/>
  <c r="U58" i="1"/>
  <c r="V58" i="1"/>
  <c r="W58" i="1"/>
  <c r="X58" i="1"/>
  <c r="Y58" i="1"/>
  <c r="Z58" i="1"/>
  <c r="AA58" i="1"/>
  <c r="AB58" i="1"/>
  <c r="AC58" i="1"/>
  <c r="AD58" i="1"/>
  <c r="K11" i="1"/>
  <c r="L11" i="1"/>
  <c r="N11" i="1"/>
  <c r="P11" i="1"/>
  <c r="R11" i="1"/>
  <c r="T11" i="1"/>
  <c r="U11" i="1"/>
  <c r="V11" i="1"/>
  <c r="W11" i="1"/>
  <c r="X11" i="1"/>
  <c r="Y11" i="1"/>
  <c r="Z11" i="1"/>
  <c r="AA11" i="1"/>
  <c r="AB11" i="1"/>
  <c r="AC11" i="1"/>
  <c r="AD11" i="1"/>
  <c r="S367" i="1" l="1"/>
  <c r="Q367" i="1"/>
  <c r="O367" i="1"/>
  <c r="M367" i="1"/>
  <c r="E367" i="1"/>
  <c r="D367" i="1" s="1"/>
  <c r="A367" i="1"/>
  <c r="B367" i="1" s="1"/>
  <c r="A2733" i="1" l="1"/>
  <c r="B2733" i="1" s="1"/>
  <c r="S2733" i="1"/>
  <c r="Q2733" i="1"/>
  <c r="M2733" i="1"/>
  <c r="E2733" i="1"/>
  <c r="D2733" i="1" l="1"/>
  <c r="K1875" i="1"/>
  <c r="L1875" i="1"/>
  <c r="N1875" i="1"/>
  <c r="P1875" i="1"/>
  <c r="R1875" i="1"/>
  <c r="T1875" i="1"/>
  <c r="U1875" i="1"/>
  <c r="V1875" i="1"/>
  <c r="W1875" i="1"/>
  <c r="X1875" i="1"/>
  <c r="Y1875" i="1"/>
  <c r="Z1875" i="1"/>
  <c r="AA1875" i="1"/>
  <c r="AB1875" i="1"/>
  <c r="AC1875" i="1"/>
  <c r="AD1875" i="1"/>
  <c r="K2333" i="1"/>
  <c r="L2333" i="1"/>
  <c r="N2333" i="1"/>
  <c r="P2333" i="1"/>
  <c r="R2333" i="1"/>
  <c r="T2333" i="1"/>
  <c r="U2333" i="1"/>
  <c r="V2333" i="1"/>
  <c r="W2333" i="1"/>
  <c r="X2333" i="1"/>
  <c r="Y2333" i="1"/>
  <c r="Z2333" i="1"/>
  <c r="AA2333" i="1"/>
  <c r="AB2333" i="1"/>
  <c r="AC2333" i="1"/>
  <c r="AD2333" i="1"/>
  <c r="A1602" i="1" l="1"/>
  <c r="A1569" i="1"/>
  <c r="A1568" i="1"/>
  <c r="A1567" i="1"/>
  <c r="A1566" i="1"/>
  <c r="A1545" i="1"/>
  <c r="A1544" i="1"/>
  <c r="A1535" i="1"/>
  <c r="E1892" i="1"/>
  <c r="E1898" i="1"/>
  <c r="K2242" i="1"/>
  <c r="L2242" i="1"/>
  <c r="N2242" i="1"/>
  <c r="P2242" i="1"/>
  <c r="R2242" i="1"/>
  <c r="T2242" i="1"/>
  <c r="U2242" i="1"/>
  <c r="V2242" i="1"/>
  <c r="W2242" i="1"/>
  <c r="X2242" i="1"/>
  <c r="Y2242" i="1"/>
  <c r="Z2242" i="1"/>
  <c r="AA2242" i="1"/>
  <c r="AB2242" i="1"/>
  <c r="AC2242" i="1"/>
  <c r="AD2242" i="1"/>
  <c r="E1904" i="1"/>
  <c r="I2315" i="1" l="1"/>
  <c r="K2315" i="1"/>
  <c r="L2315" i="1"/>
  <c r="M2315" i="1"/>
  <c r="N2315" i="1"/>
  <c r="P2315" i="1"/>
  <c r="R2315" i="1"/>
  <c r="T2315" i="1"/>
  <c r="U2315" i="1"/>
  <c r="V2315" i="1"/>
  <c r="W2315" i="1"/>
  <c r="X2315" i="1"/>
  <c r="Y2315" i="1"/>
  <c r="Z2315" i="1"/>
  <c r="AA2315" i="1"/>
  <c r="AB2315" i="1"/>
  <c r="AC2315" i="1"/>
  <c r="AD2315" i="1"/>
  <c r="A1883" i="1"/>
  <c r="A1881" i="1"/>
  <c r="S1063" i="1" l="1"/>
  <c r="Q1063" i="1"/>
  <c r="O1063" i="1"/>
  <c r="E1063" i="1"/>
  <c r="D1063" i="1" s="1"/>
  <c r="A1063" i="1"/>
  <c r="B1063" i="1" s="1"/>
  <c r="A224" i="1" l="1"/>
  <c r="A290" i="1"/>
  <c r="S849" i="1" l="1"/>
  <c r="Q849" i="1"/>
  <c r="M849" i="1"/>
  <c r="E849" i="1"/>
  <c r="D849" i="1" s="1"/>
  <c r="A849" i="1"/>
  <c r="B849" i="1" s="1"/>
  <c r="S840" i="1"/>
  <c r="Q840" i="1"/>
  <c r="M840" i="1"/>
  <c r="E840" i="1"/>
  <c r="A840" i="1"/>
  <c r="B840" i="1" s="1"/>
  <c r="S801" i="1"/>
  <c r="Q801" i="1"/>
  <c r="M801" i="1"/>
  <c r="E801" i="1"/>
  <c r="A801" i="1"/>
  <c r="B801" i="1" s="1"/>
  <c r="S802" i="1"/>
  <c r="Q802" i="1"/>
  <c r="M802" i="1"/>
  <c r="E802" i="1"/>
  <c r="A802" i="1"/>
  <c r="B802" i="1" s="1"/>
  <c r="S620" i="1"/>
  <c r="Q620" i="1"/>
  <c r="M620" i="1"/>
  <c r="E620" i="1"/>
  <c r="D620" i="1" s="1"/>
  <c r="A620" i="1"/>
  <c r="B620" i="1" s="1"/>
  <c r="S446" i="1"/>
  <c r="Q446" i="1"/>
  <c r="M446" i="1"/>
  <c r="E446" i="1"/>
  <c r="D446" i="1" s="1"/>
  <c r="A446" i="1"/>
  <c r="B446" i="1" s="1"/>
  <c r="D802" i="1" l="1"/>
  <c r="D801" i="1"/>
  <c r="D840" i="1"/>
  <c r="I179" i="1"/>
  <c r="I166" i="1" s="1"/>
  <c r="H179" i="1"/>
  <c r="O185" i="1" l="1"/>
  <c r="J185" i="1" l="1"/>
  <c r="I185" i="1"/>
  <c r="H185" i="1"/>
  <c r="G185" i="1"/>
  <c r="F185" i="1"/>
  <c r="S185" i="1"/>
  <c r="Q185" i="1"/>
  <c r="A185" i="1"/>
  <c r="B185" i="1" s="1"/>
  <c r="E185" i="1" l="1"/>
  <c r="D185" i="1" s="1"/>
  <c r="J266" i="1"/>
  <c r="I266" i="1"/>
  <c r="H266" i="1"/>
  <c r="G266" i="1"/>
  <c r="F266" i="1"/>
  <c r="J238" i="1"/>
  <c r="H238" i="1"/>
  <c r="F238" i="1"/>
  <c r="K2713" i="1" l="1"/>
  <c r="L2713" i="1"/>
  <c r="N2713" i="1"/>
  <c r="P2713" i="1"/>
  <c r="R2713" i="1"/>
  <c r="T2713" i="1"/>
  <c r="U2713" i="1"/>
  <c r="V2713" i="1"/>
  <c r="W2713" i="1"/>
  <c r="X2713" i="1"/>
  <c r="Y2713" i="1"/>
  <c r="Z2713" i="1"/>
  <c r="AA2713" i="1"/>
  <c r="AB2713" i="1"/>
  <c r="AC2713" i="1"/>
  <c r="AD2713" i="1"/>
  <c r="K2708" i="1"/>
  <c r="L2708" i="1"/>
  <c r="M2708" i="1"/>
  <c r="N2708" i="1"/>
  <c r="O2708" i="1"/>
  <c r="P2708" i="1"/>
  <c r="R2708" i="1"/>
  <c r="T2708" i="1"/>
  <c r="U2708" i="1"/>
  <c r="V2708" i="1"/>
  <c r="W2708" i="1"/>
  <c r="X2708" i="1"/>
  <c r="Y2708" i="1"/>
  <c r="Z2708" i="1"/>
  <c r="AA2708" i="1"/>
  <c r="AB2708" i="1"/>
  <c r="AC2708" i="1"/>
  <c r="AD2708" i="1"/>
  <c r="I2704" i="1"/>
  <c r="K2704" i="1"/>
  <c r="L2704" i="1"/>
  <c r="M2704" i="1"/>
  <c r="N2704" i="1"/>
  <c r="P2704" i="1"/>
  <c r="R2704" i="1"/>
  <c r="T2704" i="1"/>
  <c r="U2704" i="1"/>
  <c r="V2704" i="1"/>
  <c r="W2704" i="1"/>
  <c r="X2704" i="1"/>
  <c r="Y2704" i="1"/>
  <c r="Z2704" i="1"/>
  <c r="AA2704" i="1"/>
  <c r="AB2704" i="1"/>
  <c r="AC2704" i="1"/>
  <c r="AD2704" i="1"/>
  <c r="G2699" i="1"/>
  <c r="I2699" i="1"/>
  <c r="K2699" i="1"/>
  <c r="L2699" i="1"/>
  <c r="M2699" i="1"/>
  <c r="N2699" i="1"/>
  <c r="O2699" i="1"/>
  <c r="P2699" i="1"/>
  <c r="R2699" i="1"/>
  <c r="T2699" i="1"/>
  <c r="U2699" i="1"/>
  <c r="V2699" i="1"/>
  <c r="W2699" i="1"/>
  <c r="X2699" i="1"/>
  <c r="Y2699" i="1"/>
  <c r="Z2699" i="1"/>
  <c r="AA2699" i="1"/>
  <c r="AB2699" i="1"/>
  <c r="AC2699" i="1"/>
  <c r="AD2699" i="1"/>
  <c r="I2690" i="1"/>
  <c r="K2690" i="1"/>
  <c r="L2690" i="1"/>
  <c r="M2690" i="1"/>
  <c r="N2690" i="1"/>
  <c r="P2690" i="1"/>
  <c r="R2690" i="1"/>
  <c r="T2690" i="1"/>
  <c r="U2690" i="1"/>
  <c r="V2690" i="1"/>
  <c r="W2690" i="1"/>
  <c r="X2690" i="1"/>
  <c r="Y2690" i="1"/>
  <c r="Z2690" i="1"/>
  <c r="AA2690" i="1"/>
  <c r="AB2690" i="1"/>
  <c r="AC2690" i="1"/>
  <c r="AD2690" i="1"/>
  <c r="G2687" i="1"/>
  <c r="I2687" i="1"/>
  <c r="K2687" i="1"/>
  <c r="L2687" i="1"/>
  <c r="M2687" i="1"/>
  <c r="N2687" i="1"/>
  <c r="P2687" i="1"/>
  <c r="R2687" i="1"/>
  <c r="T2687" i="1"/>
  <c r="U2687" i="1"/>
  <c r="V2687" i="1"/>
  <c r="W2687" i="1"/>
  <c r="X2687" i="1"/>
  <c r="Y2687" i="1"/>
  <c r="Z2687" i="1"/>
  <c r="AA2687" i="1"/>
  <c r="AB2687" i="1"/>
  <c r="AC2687" i="1"/>
  <c r="AD2687" i="1"/>
  <c r="I2668" i="1"/>
  <c r="K2668" i="1"/>
  <c r="L2668" i="1"/>
  <c r="M2668" i="1"/>
  <c r="N2668" i="1"/>
  <c r="P2668" i="1"/>
  <c r="R2668" i="1"/>
  <c r="T2668" i="1"/>
  <c r="U2668" i="1"/>
  <c r="V2668" i="1"/>
  <c r="W2668" i="1"/>
  <c r="X2668" i="1"/>
  <c r="Y2668" i="1"/>
  <c r="Z2668" i="1"/>
  <c r="AA2668" i="1"/>
  <c r="AB2668" i="1"/>
  <c r="AC2668" i="1"/>
  <c r="AD2668" i="1"/>
  <c r="K2616" i="1"/>
  <c r="L2616" i="1"/>
  <c r="M2616" i="1"/>
  <c r="N2616" i="1"/>
  <c r="P2616" i="1"/>
  <c r="R2616" i="1"/>
  <c r="T2616" i="1"/>
  <c r="U2616" i="1"/>
  <c r="V2616" i="1"/>
  <c r="W2616" i="1"/>
  <c r="X2616" i="1"/>
  <c r="Y2616" i="1"/>
  <c r="Z2616" i="1"/>
  <c r="AA2616" i="1"/>
  <c r="AB2616" i="1"/>
  <c r="AC2616" i="1"/>
  <c r="AD2616" i="1"/>
  <c r="K2285" i="1"/>
  <c r="L2285" i="1"/>
  <c r="N2285" i="1"/>
  <c r="P2285" i="1"/>
  <c r="R2285" i="1"/>
  <c r="T2285" i="1"/>
  <c r="U2285" i="1"/>
  <c r="V2285" i="1"/>
  <c r="W2285" i="1"/>
  <c r="X2285" i="1"/>
  <c r="Y2285" i="1"/>
  <c r="Z2285" i="1"/>
  <c r="AA2285" i="1"/>
  <c r="AB2285" i="1"/>
  <c r="AC2285" i="1"/>
  <c r="AD2285" i="1"/>
  <c r="K2202" i="1"/>
  <c r="L2202" i="1"/>
  <c r="M2202" i="1"/>
  <c r="N2202" i="1"/>
  <c r="P2202" i="1"/>
  <c r="R2202" i="1"/>
  <c r="T2202" i="1"/>
  <c r="U2202" i="1"/>
  <c r="V2202" i="1"/>
  <c r="W2202" i="1"/>
  <c r="X2202" i="1"/>
  <c r="Y2202" i="1"/>
  <c r="Z2202" i="1"/>
  <c r="AA2202" i="1"/>
  <c r="AB2202" i="1"/>
  <c r="AC2202" i="1"/>
  <c r="AD2202" i="1"/>
  <c r="I2199" i="1"/>
  <c r="K2199" i="1"/>
  <c r="L2199" i="1"/>
  <c r="M2199" i="1"/>
  <c r="N2199" i="1"/>
  <c r="P2199" i="1"/>
  <c r="R2199" i="1"/>
  <c r="T2199" i="1"/>
  <c r="U2199" i="1"/>
  <c r="V2199" i="1"/>
  <c r="W2199" i="1"/>
  <c r="X2199" i="1"/>
  <c r="Y2199" i="1"/>
  <c r="Z2199" i="1"/>
  <c r="AA2199" i="1"/>
  <c r="AB2199" i="1"/>
  <c r="AC2199" i="1"/>
  <c r="AD2199" i="1"/>
  <c r="G2188" i="1"/>
  <c r="I2188" i="1"/>
  <c r="K2188" i="1"/>
  <c r="L2188" i="1"/>
  <c r="M2188" i="1"/>
  <c r="N2188" i="1"/>
  <c r="P2188" i="1"/>
  <c r="R2188" i="1"/>
  <c r="T2188" i="1"/>
  <c r="U2188" i="1"/>
  <c r="V2188" i="1"/>
  <c r="W2188" i="1"/>
  <c r="X2188" i="1"/>
  <c r="Y2188" i="1"/>
  <c r="Z2188" i="1"/>
  <c r="AA2188" i="1"/>
  <c r="AB2188" i="1"/>
  <c r="AC2188" i="1"/>
  <c r="AD2188" i="1"/>
  <c r="K2169" i="1"/>
  <c r="L2169" i="1"/>
  <c r="M2169" i="1"/>
  <c r="P2169" i="1"/>
  <c r="R2169" i="1"/>
  <c r="T2169" i="1"/>
  <c r="U2169" i="1"/>
  <c r="V2169" i="1"/>
  <c r="W2169" i="1"/>
  <c r="X2169" i="1"/>
  <c r="Y2169" i="1"/>
  <c r="Z2169" i="1"/>
  <c r="AA2169" i="1"/>
  <c r="AB2169" i="1"/>
  <c r="AC2169" i="1"/>
  <c r="AD2169" i="1"/>
  <c r="I2148" i="1"/>
  <c r="K2148" i="1"/>
  <c r="L2148" i="1"/>
  <c r="M2148" i="1"/>
  <c r="N2148" i="1"/>
  <c r="P2148" i="1"/>
  <c r="R2148" i="1"/>
  <c r="T2148" i="1"/>
  <c r="U2148" i="1"/>
  <c r="V2148" i="1"/>
  <c r="W2148" i="1"/>
  <c r="X2148" i="1"/>
  <c r="Y2148" i="1"/>
  <c r="Z2148" i="1"/>
  <c r="AA2148" i="1"/>
  <c r="AB2148" i="1"/>
  <c r="AC2148" i="1"/>
  <c r="AD2148" i="1"/>
  <c r="G2146" i="1"/>
  <c r="I2146" i="1"/>
  <c r="K2146" i="1"/>
  <c r="L2146" i="1"/>
  <c r="M2146" i="1"/>
  <c r="N2146" i="1"/>
  <c r="O2146" i="1"/>
  <c r="P2146" i="1"/>
  <c r="R2146" i="1"/>
  <c r="T2146" i="1"/>
  <c r="U2146" i="1"/>
  <c r="V2146" i="1"/>
  <c r="W2146" i="1"/>
  <c r="X2146" i="1"/>
  <c r="Y2146" i="1"/>
  <c r="Z2146" i="1"/>
  <c r="AA2146" i="1"/>
  <c r="AB2146" i="1"/>
  <c r="AC2146" i="1"/>
  <c r="AD2146" i="1"/>
  <c r="I2129" i="1"/>
  <c r="K2129" i="1"/>
  <c r="L2129" i="1"/>
  <c r="M2129" i="1"/>
  <c r="N2129" i="1"/>
  <c r="P2129" i="1"/>
  <c r="R2129" i="1"/>
  <c r="T2129" i="1"/>
  <c r="U2129" i="1"/>
  <c r="V2129" i="1"/>
  <c r="W2129" i="1"/>
  <c r="X2129" i="1"/>
  <c r="Y2129" i="1"/>
  <c r="Z2129" i="1"/>
  <c r="AA2129" i="1"/>
  <c r="AB2129" i="1"/>
  <c r="AC2129" i="1"/>
  <c r="AD2129" i="1"/>
  <c r="G2053" i="1"/>
  <c r="H2053" i="1"/>
  <c r="I2053" i="1"/>
  <c r="J2053" i="1"/>
  <c r="K2053" i="1"/>
  <c r="L2053" i="1"/>
  <c r="M2053" i="1"/>
  <c r="N2053" i="1"/>
  <c r="O2053" i="1"/>
  <c r="P2053" i="1"/>
  <c r="R2053" i="1"/>
  <c r="T2053" i="1"/>
  <c r="U2053" i="1"/>
  <c r="V2053" i="1"/>
  <c r="W2053" i="1"/>
  <c r="X2053" i="1"/>
  <c r="Y2053" i="1"/>
  <c r="Z2053" i="1"/>
  <c r="AA2053" i="1"/>
  <c r="AB2053" i="1"/>
  <c r="AC2053" i="1"/>
  <c r="AD2053" i="1"/>
  <c r="K1869" i="1"/>
  <c r="L1869" i="1"/>
  <c r="M1869" i="1"/>
  <c r="N1869" i="1"/>
  <c r="P1869" i="1"/>
  <c r="R1869" i="1"/>
  <c r="T1869" i="1"/>
  <c r="U1869" i="1"/>
  <c r="V1869" i="1"/>
  <c r="W1869" i="1"/>
  <c r="X1869" i="1"/>
  <c r="Y1869" i="1"/>
  <c r="Z1869" i="1"/>
  <c r="AA1869" i="1"/>
  <c r="AB1869" i="1"/>
  <c r="AC1869" i="1"/>
  <c r="AD1869" i="1"/>
  <c r="F1865" i="1"/>
  <c r="G1865" i="1"/>
  <c r="H1865" i="1"/>
  <c r="I1865" i="1"/>
  <c r="J1865" i="1"/>
  <c r="K1865" i="1"/>
  <c r="L1865" i="1"/>
  <c r="M1865" i="1"/>
  <c r="N1865" i="1"/>
  <c r="O1865" i="1"/>
  <c r="P1865" i="1"/>
  <c r="R1865" i="1"/>
  <c r="T1865" i="1"/>
  <c r="U1865" i="1"/>
  <c r="V1865" i="1"/>
  <c r="W1865" i="1"/>
  <c r="X1865" i="1"/>
  <c r="Y1865" i="1"/>
  <c r="Z1865" i="1"/>
  <c r="AA1865" i="1"/>
  <c r="AB1865" i="1"/>
  <c r="AC1865" i="1"/>
  <c r="AD1865" i="1"/>
  <c r="G1862" i="1"/>
  <c r="I1862" i="1"/>
  <c r="K1862" i="1"/>
  <c r="L1862" i="1"/>
  <c r="M1862" i="1"/>
  <c r="N1862" i="1"/>
  <c r="P1862" i="1"/>
  <c r="R1862" i="1"/>
  <c r="T1862" i="1"/>
  <c r="U1862" i="1"/>
  <c r="V1862" i="1"/>
  <c r="W1862" i="1"/>
  <c r="X1862" i="1"/>
  <c r="Y1862" i="1"/>
  <c r="Z1862" i="1"/>
  <c r="AA1862" i="1"/>
  <c r="AB1862" i="1"/>
  <c r="AC1862" i="1"/>
  <c r="AD1862" i="1"/>
  <c r="K1384" i="1"/>
  <c r="L1384" i="1"/>
  <c r="M1384" i="1"/>
  <c r="N1384" i="1"/>
  <c r="P1384" i="1"/>
  <c r="R1384" i="1"/>
  <c r="T1384" i="1"/>
  <c r="U1384" i="1"/>
  <c r="V1384" i="1"/>
  <c r="W1384" i="1"/>
  <c r="X1384" i="1"/>
  <c r="Y1384" i="1"/>
  <c r="Z1384" i="1"/>
  <c r="AA1384" i="1"/>
  <c r="AB1384" i="1"/>
  <c r="AC1384" i="1"/>
  <c r="AD1384" i="1"/>
  <c r="E1168" i="1"/>
  <c r="E1175" i="1"/>
  <c r="G1052" i="1"/>
  <c r="I1052" i="1"/>
  <c r="J1052" i="1"/>
  <c r="K1052" i="1"/>
  <c r="L1052" i="1"/>
  <c r="M1052" i="1"/>
  <c r="N1052" i="1"/>
  <c r="P1052" i="1"/>
  <c r="R1052" i="1"/>
  <c r="T1052" i="1"/>
  <c r="U1052" i="1"/>
  <c r="V1052" i="1"/>
  <c r="W1052" i="1"/>
  <c r="X1052" i="1"/>
  <c r="Y1052" i="1"/>
  <c r="Z1052" i="1"/>
  <c r="AA1052" i="1"/>
  <c r="AB1052" i="1"/>
  <c r="AC1052" i="1"/>
  <c r="AD1052" i="1"/>
  <c r="G1045" i="1"/>
  <c r="I1045" i="1"/>
  <c r="K1045" i="1"/>
  <c r="L1045" i="1"/>
  <c r="M1045" i="1"/>
  <c r="N1045" i="1"/>
  <c r="P1045" i="1"/>
  <c r="R1045" i="1"/>
  <c r="T1045" i="1"/>
  <c r="U1045" i="1"/>
  <c r="V1045" i="1"/>
  <c r="W1045" i="1"/>
  <c r="X1045" i="1"/>
  <c r="Y1045" i="1"/>
  <c r="Z1045" i="1"/>
  <c r="AA1045" i="1"/>
  <c r="AB1045" i="1"/>
  <c r="AC1045" i="1"/>
  <c r="AD1045" i="1"/>
  <c r="A127" i="1"/>
  <c r="B127" i="1" s="1"/>
  <c r="S127" i="1"/>
  <c r="Q127" i="1"/>
  <c r="M127" i="1"/>
  <c r="M126" i="1" s="1"/>
  <c r="E127" i="1"/>
  <c r="S1175" i="1"/>
  <c r="Q1175" i="1"/>
  <c r="M1175" i="1"/>
  <c r="A1175" i="1"/>
  <c r="B1175" i="1" s="1"/>
  <c r="S1176" i="1"/>
  <c r="Q1176" i="1"/>
  <c r="M1176" i="1"/>
  <c r="E1176" i="1"/>
  <c r="A1176" i="1"/>
  <c r="B1176" i="1" s="1"/>
  <c r="S1177" i="1"/>
  <c r="Q1177" i="1"/>
  <c r="M1177" i="1"/>
  <c r="E1177" i="1"/>
  <c r="A1177" i="1"/>
  <c r="B1177" i="1" s="1"/>
  <c r="S1178" i="1"/>
  <c r="Q1178" i="1"/>
  <c r="M1178" i="1"/>
  <c r="E1178" i="1"/>
  <c r="A1178" i="1"/>
  <c r="B1178" i="1" s="1"/>
  <c r="S1179" i="1"/>
  <c r="Q1179" i="1"/>
  <c r="M1179" i="1"/>
  <c r="E1179" i="1"/>
  <c r="A1179" i="1"/>
  <c r="B1179" i="1" s="1"/>
  <c r="S1180" i="1"/>
  <c r="Q1180" i="1"/>
  <c r="M1180" i="1"/>
  <c r="E1180" i="1"/>
  <c r="A1180" i="1"/>
  <c r="B1180" i="1" s="1"/>
  <c r="S1181" i="1"/>
  <c r="Q1181" i="1"/>
  <c r="M1181" i="1"/>
  <c r="E1181" i="1"/>
  <c r="A1181" i="1"/>
  <c r="B1181" i="1" s="1"/>
  <c r="S1182" i="1"/>
  <c r="Q1182" i="1"/>
  <c r="M1182" i="1"/>
  <c r="E1182" i="1"/>
  <c r="A1182" i="1"/>
  <c r="B1182" i="1" s="1"/>
  <c r="S1173" i="1"/>
  <c r="Q1173" i="1"/>
  <c r="M1173" i="1"/>
  <c r="E1173" i="1"/>
  <c r="A1173" i="1"/>
  <c r="B1173" i="1" s="1"/>
  <c r="S1168" i="1"/>
  <c r="Q1168" i="1"/>
  <c r="M1168" i="1"/>
  <c r="A1168" i="1"/>
  <c r="B1168" i="1" s="1"/>
  <c r="S1169" i="1"/>
  <c r="Q1169" i="1"/>
  <c r="M1169" i="1"/>
  <c r="E1169" i="1"/>
  <c r="A1169" i="1"/>
  <c r="B1169" i="1" s="1"/>
  <c r="S1155" i="1"/>
  <c r="Q1155" i="1"/>
  <c r="M1155" i="1"/>
  <c r="E1155" i="1"/>
  <c r="A1155" i="1"/>
  <c r="B1155" i="1" s="1"/>
  <c r="S1152" i="1"/>
  <c r="Q1152" i="1"/>
  <c r="M1152" i="1"/>
  <c r="E1152" i="1"/>
  <c r="A1152" i="1"/>
  <c r="B1152" i="1" s="1"/>
  <c r="A1098" i="1"/>
  <c r="B1098" i="1" s="1"/>
  <c r="A1099" i="1"/>
  <c r="B1099" i="1" s="1"/>
  <c r="A1100" i="1"/>
  <c r="B1100" i="1" s="1"/>
  <c r="A1101" i="1"/>
  <c r="B1101" i="1" s="1"/>
  <c r="A1102" i="1"/>
  <c r="B1102" i="1" s="1"/>
  <c r="A1103" i="1"/>
  <c r="B1103" i="1" s="1"/>
  <c r="A1104" i="1"/>
  <c r="B1104" i="1" s="1"/>
  <c r="A1105" i="1"/>
  <c r="B1105" i="1" s="1"/>
  <c r="A1106" i="1"/>
  <c r="B1106" i="1" s="1"/>
  <c r="A1107" i="1"/>
  <c r="B1107" i="1" s="1"/>
  <c r="A1108" i="1"/>
  <c r="B1108" i="1" s="1"/>
  <c r="A1109" i="1"/>
  <c r="A1110" i="1"/>
  <c r="B1110" i="1" s="1"/>
  <c r="A1111" i="1"/>
  <c r="B1111" i="1" s="1"/>
  <c r="A1112" i="1"/>
  <c r="B1112" i="1" s="1"/>
  <c r="A1113" i="1"/>
  <c r="A1114" i="1"/>
  <c r="B1114" i="1" s="1"/>
  <c r="A1115" i="1"/>
  <c r="B1115" i="1" s="1"/>
  <c r="A1116" i="1"/>
  <c r="A1117" i="1"/>
  <c r="A1118" i="1"/>
  <c r="B1118" i="1" s="1"/>
  <c r="A1119" i="1"/>
  <c r="B1119" i="1" s="1"/>
  <c r="A1120" i="1"/>
  <c r="B1120" i="1" s="1"/>
  <c r="A1121" i="1"/>
  <c r="B1121" i="1" s="1"/>
  <c r="A1122" i="1"/>
  <c r="B1122" i="1" s="1"/>
  <c r="A1123" i="1"/>
  <c r="B1123" i="1" s="1"/>
  <c r="A1124" i="1"/>
  <c r="A1125" i="1"/>
  <c r="B1125" i="1" s="1"/>
  <c r="A1126" i="1"/>
  <c r="A1127" i="1"/>
  <c r="B1127" i="1" s="1"/>
  <c r="A1128" i="1"/>
  <c r="B1128" i="1" s="1"/>
  <c r="A1129" i="1"/>
  <c r="B1129" i="1" s="1"/>
  <c r="A1130" i="1"/>
  <c r="A1131" i="1"/>
  <c r="A1135" i="1"/>
  <c r="B1135" i="1" s="1"/>
  <c r="A1132" i="1"/>
  <c r="B1132" i="1" s="1"/>
  <c r="A1137" i="1"/>
  <c r="B1137" i="1" s="1"/>
  <c r="A1138" i="1"/>
  <c r="B1138" i="1" s="1"/>
  <c r="A1140" i="1"/>
  <c r="B1140" i="1" s="1"/>
  <c r="A1141" i="1"/>
  <c r="B1141" i="1" s="1"/>
  <c r="A1142" i="1"/>
  <c r="B1142" i="1" s="1"/>
  <c r="A1134" i="1"/>
  <c r="A1133" i="1"/>
  <c r="A1136" i="1"/>
  <c r="A1139" i="1"/>
  <c r="A1143" i="1"/>
  <c r="A1144" i="1"/>
  <c r="A1145" i="1"/>
  <c r="A1146" i="1"/>
  <c r="A1147" i="1"/>
  <c r="A1148" i="1"/>
  <c r="A1149" i="1"/>
  <c r="A1150" i="1"/>
  <c r="A1151" i="1"/>
  <c r="A1153" i="1"/>
  <c r="A1154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70" i="1"/>
  <c r="A1171" i="1"/>
  <c r="A1172" i="1"/>
  <c r="A1174" i="1"/>
  <c r="A1183" i="1"/>
  <c r="A1184" i="1"/>
  <c r="A1097" i="1"/>
  <c r="B1097" i="1" s="1"/>
  <c r="S1135" i="1"/>
  <c r="Q1135" i="1"/>
  <c r="M1135" i="1"/>
  <c r="E1135" i="1"/>
  <c r="S1132" i="1"/>
  <c r="Q1132" i="1"/>
  <c r="M1132" i="1"/>
  <c r="E1132" i="1"/>
  <c r="S1137" i="1"/>
  <c r="Q1137" i="1"/>
  <c r="M1137" i="1"/>
  <c r="E1137" i="1"/>
  <c r="S1138" i="1"/>
  <c r="Q1138" i="1"/>
  <c r="M1138" i="1"/>
  <c r="E1138" i="1"/>
  <c r="S1140" i="1"/>
  <c r="Q1140" i="1"/>
  <c r="M1140" i="1"/>
  <c r="E1140" i="1"/>
  <c r="S1141" i="1"/>
  <c r="Q1141" i="1"/>
  <c r="M1141" i="1"/>
  <c r="E1141" i="1"/>
  <c r="S1142" i="1"/>
  <c r="Q1142" i="1"/>
  <c r="M1142" i="1"/>
  <c r="E1142" i="1"/>
  <c r="S1118" i="1"/>
  <c r="Q1118" i="1"/>
  <c r="M1118" i="1"/>
  <c r="E1118" i="1"/>
  <c r="S1115" i="1"/>
  <c r="Q1115" i="1"/>
  <c r="M1115" i="1"/>
  <c r="E1115" i="1"/>
  <c r="S1114" i="1"/>
  <c r="Q1114" i="1"/>
  <c r="M1114" i="1"/>
  <c r="E1114" i="1"/>
  <c r="S1112" i="1"/>
  <c r="Q1112" i="1"/>
  <c r="M1112" i="1"/>
  <c r="E1112" i="1"/>
  <c r="S1111" i="1"/>
  <c r="Q1111" i="1"/>
  <c r="M1111" i="1"/>
  <c r="E1111" i="1"/>
  <c r="S1098" i="1"/>
  <c r="Q1098" i="1"/>
  <c r="M1098" i="1"/>
  <c r="E1098" i="1"/>
  <c r="S1110" i="1"/>
  <c r="Q1110" i="1"/>
  <c r="M1110" i="1"/>
  <c r="E1110" i="1"/>
  <c r="S1108" i="1"/>
  <c r="Q1108" i="1"/>
  <c r="M1108" i="1"/>
  <c r="E1108" i="1"/>
  <c r="D1108" i="1" s="1"/>
  <c r="S1107" i="1"/>
  <c r="Q1107" i="1"/>
  <c r="M1107" i="1"/>
  <c r="E1107" i="1"/>
  <c r="S1106" i="1"/>
  <c r="Q1106" i="1"/>
  <c r="M1106" i="1"/>
  <c r="E1106" i="1"/>
  <c r="S1105" i="1"/>
  <c r="Q1105" i="1"/>
  <c r="M1105" i="1"/>
  <c r="E1105" i="1"/>
  <c r="D1105" i="1" s="1"/>
  <c r="S1104" i="1"/>
  <c r="Q1104" i="1"/>
  <c r="M1104" i="1"/>
  <c r="E1104" i="1"/>
  <c r="S1103" i="1"/>
  <c r="Q1103" i="1"/>
  <c r="M1103" i="1"/>
  <c r="E1103" i="1"/>
  <c r="S1097" i="1"/>
  <c r="Q1097" i="1"/>
  <c r="M1097" i="1"/>
  <c r="E1097" i="1"/>
  <c r="D1097" i="1" s="1"/>
  <c r="S1119" i="1"/>
  <c r="Q1119" i="1"/>
  <c r="M1119" i="1"/>
  <c r="E1119" i="1"/>
  <c r="S1120" i="1"/>
  <c r="Q1120" i="1"/>
  <c r="M1120" i="1"/>
  <c r="E1120" i="1"/>
  <c r="S1121" i="1"/>
  <c r="Q1121" i="1"/>
  <c r="M1121" i="1"/>
  <c r="E1121" i="1"/>
  <c r="D1121" i="1" s="1"/>
  <c r="S1122" i="1"/>
  <c r="Q1122" i="1"/>
  <c r="M1122" i="1"/>
  <c r="E1122" i="1"/>
  <c r="S1123" i="1"/>
  <c r="Q1123" i="1"/>
  <c r="M1123" i="1"/>
  <c r="E1123" i="1"/>
  <c r="S1125" i="1"/>
  <c r="Q1125" i="1"/>
  <c r="M1125" i="1"/>
  <c r="E1125" i="1"/>
  <c r="D1125" i="1" s="1"/>
  <c r="S1127" i="1"/>
  <c r="Q1127" i="1"/>
  <c r="M1127" i="1"/>
  <c r="E1127" i="1"/>
  <c r="S1128" i="1"/>
  <c r="Q1128" i="1"/>
  <c r="M1128" i="1"/>
  <c r="E1128" i="1"/>
  <c r="S1129" i="1"/>
  <c r="Q1129" i="1"/>
  <c r="M1129" i="1"/>
  <c r="E1129" i="1"/>
  <c r="D1129" i="1" s="1"/>
  <c r="S1099" i="1"/>
  <c r="Q1099" i="1"/>
  <c r="M1099" i="1"/>
  <c r="E1099" i="1"/>
  <c r="S1100" i="1"/>
  <c r="Q1100" i="1"/>
  <c r="M1100" i="1"/>
  <c r="E1100" i="1"/>
  <c r="S1101" i="1"/>
  <c r="Q1101" i="1"/>
  <c r="M1101" i="1"/>
  <c r="E1101" i="1"/>
  <c r="D1101" i="1" s="1"/>
  <c r="S1102" i="1"/>
  <c r="Q1102" i="1"/>
  <c r="M1102" i="1"/>
  <c r="E1102" i="1"/>
  <c r="S395" i="1"/>
  <c r="Q395" i="1"/>
  <c r="M395" i="1"/>
  <c r="E395" i="1"/>
  <c r="A395" i="1"/>
  <c r="B395" i="1" s="1"/>
  <c r="S396" i="1"/>
  <c r="Q396" i="1"/>
  <c r="M396" i="1"/>
  <c r="E396" i="1"/>
  <c r="A396" i="1"/>
  <c r="B396" i="1" s="1"/>
  <c r="S1002" i="1"/>
  <c r="Q1002" i="1"/>
  <c r="M1002" i="1"/>
  <c r="E1002" i="1"/>
  <c r="A1002" i="1"/>
  <c r="B1002" i="1" s="1"/>
  <c r="S1003" i="1"/>
  <c r="Q1003" i="1"/>
  <c r="M1003" i="1"/>
  <c r="E1003" i="1"/>
  <c r="A1003" i="1"/>
  <c r="B1003" i="1" s="1"/>
  <c r="S912" i="1"/>
  <c r="Q912" i="1"/>
  <c r="M912" i="1"/>
  <c r="E912" i="1"/>
  <c r="A912" i="1"/>
  <c r="B912" i="1" s="1"/>
  <c r="S913" i="1"/>
  <c r="Q913" i="1"/>
  <c r="M913" i="1"/>
  <c r="E913" i="1"/>
  <c r="A913" i="1"/>
  <c r="B913" i="1" s="1"/>
  <c r="S914" i="1"/>
  <c r="Q914" i="1"/>
  <c r="M914" i="1"/>
  <c r="E914" i="1"/>
  <c r="A914" i="1"/>
  <c r="B914" i="1" s="1"/>
  <c r="S908" i="1"/>
  <c r="Q908" i="1"/>
  <c r="M908" i="1"/>
  <c r="E908" i="1"/>
  <c r="A908" i="1"/>
  <c r="B908" i="1" s="1"/>
  <c r="S903" i="1"/>
  <c r="Q903" i="1"/>
  <c r="M903" i="1"/>
  <c r="E903" i="1"/>
  <c r="A903" i="1"/>
  <c r="B903" i="1" s="1"/>
  <c r="S904" i="1"/>
  <c r="Q904" i="1"/>
  <c r="M904" i="1"/>
  <c r="E904" i="1"/>
  <c r="A904" i="1"/>
  <c r="B904" i="1" s="1"/>
  <c r="S905" i="1"/>
  <c r="Q905" i="1"/>
  <c r="M905" i="1"/>
  <c r="E905" i="1"/>
  <c r="A905" i="1"/>
  <c r="B905" i="1" s="1"/>
  <c r="S906" i="1"/>
  <c r="Q906" i="1"/>
  <c r="M906" i="1"/>
  <c r="E906" i="1"/>
  <c r="A906" i="1"/>
  <c r="B906" i="1" s="1"/>
  <c r="S842" i="1"/>
  <c r="Q842" i="1"/>
  <c r="M842" i="1"/>
  <c r="E842" i="1"/>
  <c r="A842" i="1"/>
  <c r="B842" i="1" s="1"/>
  <c r="S839" i="1"/>
  <c r="Q839" i="1"/>
  <c r="M839" i="1"/>
  <c r="E839" i="1"/>
  <c r="A839" i="1"/>
  <c r="B839" i="1" s="1"/>
  <c r="S845" i="1"/>
  <c r="Q845" i="1"/>
  <c r="M845" i="1"/>
  <c r="E845" i="1"/>
  <c r="A845" i="1"/>
  <c r="B845" i="1" s="1"/>
  <c r="S844" i="1"/>
  <c r="Q844" i="1"/>
  <c r="M844" i="1"/>
  <c r="E844" i="1"/>
  <c r="A844" i="1"/>
  <c r="B844" i="1" s="1"/>
  <c r="S843" i="1"/>
  <c r="Q843" i="1"/>
  <c r="M843" i="1"/>
  <c r="E843" i="1"/>
  <c r="A843" i="1"/>
  <c r="B843" i="1" s="1"/>
  <c r="S848" i="1"/>
  <c r="Q848" i="1"/>
  <c r="M848" i="1"/>
  <c r="E848" i="1"/>
  <c r="A848" i="1"/>
  <c r="B848" i="1" s="1"/>
  <c r="S847" i="1"/>
  <c r="Q847" i="1"/>
  <c r="M847" i="1"/>
  <c r="E847" i="1"/>
  <c r="A847" i="1"/>
  <c r="B847" i="1" s="1"/>
  <c r="S846" i="1"/>
  <c r="Q846" i="1"/>
  <c r="M846" i="1"/>
  <c r="E846" i="1"/>
  <c r="A846" i="1"/>
  <c r="B846" i="1" s="1"/>
  <c r="S854" i="1"/>
  <c r="Q854" i="1"/>
  <c r="M854" i="1"/>
  <c r="E854" i="1"/>
  <c r="A854" i="1"/>
  <c r="B854" i="1" s="1"/>
  <c r="S851" i="1"/>
  <c r="Q851" i="1"/>
  <c r="M851" i="1"/>
  <c r="E851" i="1"/>
  <c r="A851" i="1"/>
  <c r="B851" i="1" s="1"/>
  <c r="S850" i="1"/>
  <c r="Q850" i="1"/>
  <c r="M850" i="1"/>
  <c r="E850" i="1"/>
  <c r="A850" i="1"/>
  <c r="B850" i="1" s="1"/>
  <c r="S857" i="1"/>
  <c r="Q857" i="1"/>
  <c r="M857" i="1"/>
  <c r="E857" i="1"/>
  <c r="A857" i="1"/>
  <c r="B857" i="1" s="1"/>
  <c r="S856" i="1"/>
  <c r="Q856" i="1"/>
  <c r="M856" i="1"/>
  <c r="E856" i="1"/>
  <c r="A856" i="1"/>
  <c r="B856" i="1" s="1"/>
  <c r="S855" i="1"/>
  <c r="Q855" i="1"/>
  <c r="M855" i="1"/>
  <c r="E855" i="1"/>
  <c r="A855" i="1"/>
  <c r="B855" i="1" s="1"/>
  <c r="S860" i="1"/>
  <c r="Q860" i="1"/>
  <c r="M860" i="1"/>
  <c r="E860" i="1"/>
  <c r="A860" i="1"/>
  <c r="B860" i="1" s="1"/>
  <c r="S859" i="1"/>
  <c r="Q859" i="1"/>
  <c r="M859" i="1"/>
  <c r="E859" i="1"/>
  <c r="A859" i="1"/>
  <c r="B859" i="1" s="1"/>
  <c r="S858" i="1"/>
  <c r="Q858" i="1"/>
  <c r="M858" i="1"/>
  <c r="E858" i="1"/>
  <c r="A858" i="1"/>
  <c r="B858" i="1" s="1"/>
  <c r="S861" i="1"/>
  <c r="Q861" i="1"/>
  <c r="M861" i="1"/>
  <c r="E861" i="1"/>
  <c r="A861" i="1"/>
  <c r="B861" i="1" s="1"/>
  <c r="S862" i="1"/>
  <c r="Q862" i="1"/>
  <c r="M862" i="1"/>
  <c r="E862" i="1"/>
  <c r="A862" i="1"/>
  <c r="B862" i="1" s="1"/>
  <c r="S863" i="1"/>
  <c r="Q863" i="1"/>
  <c r="M863" i="1"/>
  <c r="E863" i="1"/>
  <c r="A863" i="1"/>
  <c r="B863" i="1" s="1"/>
  <c r="S818" i="1"/>
  <c r="Q818" i="1"/>
  <c r="M818" i="1"/>
  <c r="E818" i="1"/>
  <c r="A818" i="1"/>
  <c r="B818" i="1" s="1"/>
  <c r="S819" i="1"/>
  <c r="Q819" i="1"/>
  <c r="M819" i="1"/>
  <c r="E819" i="1"/>
  <c r="A819" i="1"/>
  <c r="B819" i="1" s="1"/>
  <c r="S817" i="1"/>
  <c r="Q817" i="1"/>
  <c r="M817" i="1"/>
  <c r="E817" i="1"/>
  <c r="A817" i="1"/>
  <c r="B817" i="1" s="1"/>
  <c r="S813" i="1"/>
  <c r="Q813" i="1"/>
  <c r="M813" i="1"/>
  <c r="E813" i="1"/>
  <c r="A813" i="1"/>
  <c r="B813" i="1" s="1"/>
  <c r="S805" i="1"/>
  <c r="Q805" i="1"/>
  <c r="M805" i="1"/>
  <c r="E805" i="1"/>
  <c r="A805" i="1"/>
  <c r="B805" i="1" s="1"/>
  <c r="S804" i="1"/>
  <c r="Q804" i="1"/>
  <c r="M804" i="1"/>
  <c r="E804" i="1"/>
  <c r="A804" i="1"/>
  <c r="B804" i="1" s="1"/>
  <c r="S803" i="1"/>
  <c r="Q803" i="1"/>
  <c r="M803" i="1"/>
  <c r="E803" i="1"/>
  <c r="A803" i="1"/>
  <c r="B803" i="1" s="1"/>
  <c r="S800" i="1"/>
  <c r="Q800" i="1"/>
  <c r="M800" i="1"/>
  <c r="E800" i="1"/>
  <c r="A800" i="1"/>
  <c r="B800" i="1" s="1"/>
  <c r="S799" i="1"/>
  <c r="Q799" i="1"/>
  <c r="M799" i="1"/>
  <c r="E799" i="1"/>
  <c r="A799" i="1"/>
  <c r="B799" i="1" s="1"/>
  <c r="S798" i="1"/>
  <c r="Q798" i="1"/>
  <c r="M798" i="1"/>
  <c r="E798" i="1"/>
  <c r="A798" i="1"/>
  <c r="B798" i="1" s="1"/>
  <c r="S811" i="1"/>
  <c r="Q811" i="1"/>
  <c r="M811" i="1"/>
  <c r="E811" i="1"/>
  <c r="A811" i="1"/>
  <c r="B811" i="1" s="1"/>
  <c r="S810" i="1"/>
  <c r="Q810" i="1"/>
  <c r="M810" i="1"/>
  <c r="E810" i="1"/>
  <c r="A810" i="1"/>
  <c r="B810" i="1" s="1"/>
  <c r="S809" i="1"/>
  <c r="Q809" i="1"/>
  <c r="M809" i="1"/>
  <c r="E809" i="1"/>
  <c r="A809" i="1"/>
  <c r="B809" i="1" s="1"/>
  <c r="S808" i="1"/>
  <c r="Q808" i="1"/>
  <c r="M808" i="1"/>
  <c r="E808" i="1"/>
  <c r="A808" i="1"/>
  <c r="B808" i="1" s="1"/>
  <c r="S807" i="1"/>
  <c r="Q807" i="1"/>
  <c r="M807" i="1"/>
  <c r="E807" i="1"/>
  <c r="A807" i="1"/>
  <c r="B807" i="1" s="1"/>
  <c r="S806" i="1"/>
  <c r="Q806" i="1"/>
  <c r="M806" i="1"/>
  <c r="E806" i="1"/>
  <c r="A806" i="1"/>
  <c r="B806" i="1" s="1"/>
  <c r="S787" i="1"/>
  <c r="Q787" i="1"/>
  <c r="M787" i="1"/>
  <c r="E787" i="1"/>
  <c r="A787" i="1"/>
  <c r="B787" i="1" s="1"/>
  <c r="S789" i="1"/>
  <c r="Q789" i="1"/>
  <c r="M789" i="1"/>
  <c r="E789" i="1"/>
  <c r="A789" i="1"/>
  <c r="B789" i="1" s="1"/>
  <c r="S792" i="1"/>
  <c r="Q792" i="1"/>
  <c r="M792" i="1"/>
  <c r="E792" i="1"/>
  <c r="A792" i="1"/>
  <c r="B792" i="1" s="1"/>
  <c r="S793" i="1"/>
  <c r="Q793" i="1"/>
  <c r="M793" i="1"/>
  <c r="E793" i="1"/>
  <c r="A793" i="1"/>
  <c r="B793" i="1" s="1"/>
  <c r="S794" i="1"/>
  <c r="Q794" i="1"/>
  <c r="M794" i="1"/>
  <c r="E794" i="1"/>
  <c r="A794" i="1"/>
  <c r="B794" i="1" s="1"/>
  <c r="S796" i="1"/>
  <c r="Q796" i="1"/>
  <c r="M796" i="1"/>
  <c r="E796" i="1"/>
  <c r="A796" i="1"/>
  <c r="B796" i="1" s="1"/>
  <c r="S781" i="1"/>
  <c r="Q781" i="1"/>
  <c r="M781" i="1"/>
  <c r="E781" i="1"/>
  <c r="A781" i="1"/>
  <c r="B781" i="1" s="1"/>
  <c r="S782" i="1"/>
  <c r="Q782" i="1"/>
  <c r="M782" i="1"/>
  <c r="E782" i="1"/>
  <c r="A782" i="1"/>
  <c r="B782" i="1" s="1"/>
  <c r="S775" i="1"/>
  <c r="Q775" i="1"/>
  <c r="M775" i="1"/>
  <c r="E775" i="1"/>
  <c r="A775" i="1"/>
  <c r="B775" i="1" s="1"/>
  <c r="S783" i="1"/>
  <c r="Q783" i="1"/>
  <c r="M783" i="1"/>
  <c r="E783" i="1"/>
  <c r="A783" i="1"/>
  <c r="B783" i="1" s="1"/>
  <c r="S777" i="1"/>
  <c r="Q777" i="1"/>
  <c r="M777" i="1"/>
  <c r="E777" i="1"/>
  <c r="A777" i="1"/>
  <c r="B777" i="1" s="1"/>
  <c r="S778" i="1"/>
  <c r="Q778" i="1"/>
  <c r="M778" i="1"/>
  <c r="E778" i="1"/>
  <c r="A778" i="1"/>
  <c r="B778" i="1" s="1"/>
  <c r="S770" i="1"/>
  <c r="Q770" i="1"/>
  <c r="M770" i="1"/>
  <c r="E770" i="1"/>
  <c r="A770" i="1"/>
  <c r="B770" i="1" s="1"/>
  <c r="S765" i="1"/>
  <c r="Q765" i="1"/>
  <c r="M765" i="1"/>
  <c r="E765" i="1"/>
  <c r="A765" i="1"/>
  <c r="B765" i="1" s="1"/>
  <c r="S766" i="1"/>
  <c r="Q766" i="1"/>
  <c r="M766" i="1"/>
  <c r="E766" i="1"/>
  <c r="A766" i="1"/>
  <c r="B766" i="1" s="1"/>
  <c r="S767" i="1"/>
  <c r="Q767" i="1"/>
  <c r="M767" i="1"/>
  <c r="E767" i="1"/>
  <c r="A767" i="1"/>
  <c r="B767" i="1" s="1"/>
  <c r="S768" i="1"/>
  <c r="Q768" i="1"/>
  <c r="M768" i="1"/>
  <c r="E768" i="1"/>
  <c r="A768" i="1"/>
  <c r="B768" i="1" s="1"/>
  <c r="S769" i="1"/>
  <c r="Q769" i="1"/>
  <c r="M769" i="1"/>
  <c r="E769" i="1"/>
  <c r="A769" i="1"/>
  <c r="B769" i="1" s="1"/>
  <c r="S771" i="1"/>
  <c r="Q771" i="1"/>
  <c r="M771" i="1"/>
  <c r="E771" i="1"/>
  <c r="A771" i="1"/>
  <c r="B771" i="1" s="1"/>
  <c r="S753" i="1"/>
  <c r="Q753" i="1"/>
  <c r="M753" i="1"/>
  <c r="E753" i="1"/>
  <c r="A753" i="1"/>
  <c r="B753" i="1" s="1"/>
  <c r="S751" i="1"/>
  <c r="Q751" i="1"/>
  <c r="M751" i="1"/>
  <c r="E751" i="1"/>
  <c r="A751" i="1"/>
  <c r="B751" i="1" s="1"/>
  <c r="S749" i="1"/>
  <c r="Q749" i="1"/>
  <c r="M749" i="1"/>
  <c r="E749" i="1"/>
  <c r="A749" i="1"/>
  <c r="B749" i="1" s="1"/>
  <c r="S748" i="1"/>
  <c r="Q748" i="1"/>
  <c r="M748" i="1"/>
  <c r="E748" i="1"/>
  <c r="A748" i="1"/>
  <c r="B748" i="1" s="1"/>
  <c r="S747" i="1"/>
  <c r="Q747" i="1"/>
  <c r="M747" i="1"/>
  <c r="E747" i="1"/>
  <c r="A747" i="1"/>
  <c r="B747" i="1" s="1"/>
  <c r="S746" i="1"/>
  <c r="Q746" i="1"/>
  <c r="M746" i="1"/>
  <c r="E746" i="1"/>
  <c r="D746" i="1" s="1"/>
  <c r="A746" i="1"/>
  <c r="B746" i="1" s="1"/>
  <c r="S755" i="1"/>
  <c r="Q755" i="1"/>
  <c r="M755" i="1"/>
  <c r="E755" i="1"/>
  <c r="A755" i="1"/>
  <c r="B755" i="1" s="1"/>
  <c r="S756" i="1"/>
  <c r="Q756" i="1"/>
  <c r="M756" i="1"/>
  <c r="E756" i="1"/>
  <c r="A756" i="1"/>
  <c r="B756" i="1" s="1"/>
  <c r="S757" i="1"/>
  <c r="Q757" i="1"/>
  <c r="M757" i="1"/>
  <c r="E757" i="1"/>
  <c r="A757" i="1"/>
  <c r="B757" i="1" s="1"/>
  <c r="S758" i="1"/>
  <c r="Q758" i="1"/>
  <c r="M758" i="1"/>
  <c r="E758" i="1"/>
  <c r="A758" i="1"/>
  <c r="B758" i="1" s="1"/>
  <c r="S759" i="1"/>
  <c r="Q759" i="1"/>
  <c r="M759" i="1"/>
  <c r="E759" i="1"/>
  <c r="A759" i="1"/>
  <c r="B759" i="1" s="1"/>
  <c r="S745" i="1"/>
  <c r="Q745" i="1"/>
  <c r="M745" i="1"/>
  <c r="E745" i="1"/>
  <c r="A745" i="1"/>
  <c r="B745" i="1" s="1"/>
  <c r="S738" i="1"/>
  <c r="Q738" i="1"/>
  <c r="M738" i="1"/>
  <c r="E738" i="1"/>
  <c r="A738" i="1"/>
  <c r="B738" i="1" s="1"/>
  <c r="S739" i="1"/>
  <c r="Q739" i="1"/>
  <c r="M739" i="1"/>
  <c r="E739" i="1"/>
  <c r="A739" i="1"/>
  <c r="B739" i="1" s="1"/>
  <c r="S740" i="1"/>
  <c r="Q740" i="1"/>
  <c r="M740" i="1"/>
  <c r="E740" i="1"/>
  <c r="A740" i="1"/>
  <c r="B740" i="1" s="1"/>
  <c r="S741" i="1"/>
  <c r="Q741" i="1"/>
  <c r="M741" i="1"/>
  <c r="E741" i="1"/>
  <c r="A741" i="1"/>
  <c r="B741" i="1" s="1"/>
  <c r="S725" i="1"/>
  <c r="Q725" i="1"/>
  <c r="M725" i="1"/>
  <c r="E725" i="1"/>
  <c r="A725" i="1"/>
  <c r="B725" i="1" s="1"/>
  <c r="S727" i="1"/>
  <c r="Q727" i="1"/>
  <c r="M727" i="1"/>
  <c r="E727" i="1"/>
  <c r="D727" i="1" s="1"/>
  <c r="A727" i="1"/>
  <c r="B727" i="1" s="1"/>
  <c r="S728" i="1"/>
  <c r="Q728" i="1"/>
  <c r="M728" i="1"/>
  <c r="E728" i="1"/>
  <c r="A728" i="1"/>
  <c r="B728" i="1" s="1"/>
  <c r="S729" i="1"/>
  <c r="Q729" i="1"/>
  <c r="M729" i="1"/>
  <c r="E729" i="1"/>
  <c r="A729" i="1"/>
  <c r="B729" i="1" s="1"/>
  <c r="S730" i="1"/>
  <c r="Q730" i="1"/>
  <c r="M730" i="1"/>
  <c r="E730" i="1"/>
  <c r="A730" i="1"/>
  <c r="B730" i="1" s="1"/>
  <c r="S731" i="1"/>
  <c r="Q731" i="1"/>
  <c r="M731" i="1"/>
  <c r="E731" i="1"/>
  <c r="A731" i="1"/>
  <c r="B731" i="1" s="1"/>
  <c r="S732" i="1"/>
  <c r="Q732" i="1"/>
  <c r="M732" i="1"/>
  <c r="E732" i="1"/>
  <c r="A732" i="1"/>
  <c r="B732" i="1" s="1"/>
  <c r="S734" i="1"/>
  <c r="Q734" i="1"/>
  <c r="M734" i="1"/>
  <c r="E734" i="1"/>
  <c r="A734" i="1"/>
  <c r="B734" i="1" s="1"/>
  <c r="S735" i="1"/>
  <c r="Q735" i="1"/>
  <c r="M735" i="1"/>
  <c r="E735" i="1"/>
  <c r="A735" i="1"/>
  <c r="B735" i="1" s="1"/>
  <c r="S715" i="1"/>
  <c r="Q715" i="1"/>
  <c r="M715" i="1"/>
  <c r="E715" i="1"/>
  <c r="A715" i="1"/>
  <c r="B715" i="1" s="1"/>
  <c r="S716" i="1"/>
  <c r="Q716" i="1"/>
  <c r="M716" i="1"/>
  <c r="E716" i="1"/>
  <c r="A716" i="1"/>
  <c r="B716" i="1" s="1"/>
  <c r="S717" i="1"/>
  <c r="Q717" i="1"/>
  <c r="M717" i="1"/>
  <c r="E717" i="1"/>
  <c r="A717" i="1"/>
  <c r="B717" i="1" s="1"/>
  <c r="S711" i="1"/>
  <c r="Q711" i="1"/>
  <c r="M711" i="1"/>
  <c r="E711" i="1"/>
  <c r="A711" i="1"/>
  <c r="B711" i="1" s="1"/>
  <c r="S712" i="1"/>
  <c r="Q712" i="1"/>
  <c r="M712" i="1"/>
  <c r="E712" i="1"/>
  <c r="D712" i="1" s="1"/>
  <c r="A712" i="1"/>
  <c r="B712" i="1" s="1"/>
  <c r="S710" i="1"/>
  <c r="Q710" i="1"/>
  <c r="M710" i="1"/>
  <c r="E710" i="1"/>
  <c r="A710" i="1"/>
  <c r="B710" i="1" s="1"/>
  <c r="S713" i="1"/>
  <c r="Q713" i="1"/>
  <c r="M713" i="1"/>
  <c r="E713" i="1"/>
  <c r="A713" i="1"/>
  <c r="B713" i="1" s="1"/>
  <c r="S684" i="1"/>
  <c r="Q684" i="1"/>
  <c r="M684" i="1"/>
  <c r="E684" i="1"/>
  <c r="A684" i="1"/>
  <c r="B684" i="1" s="1"/>
  <c r="S685" i="1"/>
  <c r="Q685" i="1"/>
  <c r="M685" i="1"/>
  <c r="E685" i="1"/>
  <c r="A685" i="1"/>
  <c r="B685" i="1" s="1"/>
  <c r="S686" i="1"/>
  <c r="Q686" i="1"/>
  <c r="M686" i="1"/>
  <c r="E686" i="1"/>
  <c r="A686" i="1"/>
  <c r="B686" i="1" s="1"/>
  <c r="S687" i="1"/>
  <c r="Q687" i="1"/>
  <c r="M687" i="1"/>
  <c r="E687" i="1"/>
  <c r="A687" i="1"/>
  <c r="B687" i="1" s="1"/>
  <c r="S670" i="1"/>
  <c r="Q670" i="1"/>
  <c r="M670" i="1"/>
  <c r="E670" i="1"/>
  <c r="A670" i="1"/>
  <c r="B670" i="1" s="1"/>
  <c r="S668" i="1"/>
  <c r="Q668" i="1"/>
  <c r="M668" i="1"/>
  <c r="E668" i="1"/>
  <c r="A668" i="1"/>
  <c r="B668" i="1" s="1"/>
  <c r="S669" i="1"/>
  <c r="Q669" i="1"/>
  <c r="M669" i="1"/>
  <c r="E669" i="1"/>
  <c r="A669" i="1"/>
  <c r="B669" i="1" s="1"/>
  <c r="S671" i="1"/>
  <c r="Q671" i="1"/>
  <c r="M671" i="1"/>
  <c r="E671" i="1"/>
  <c r="A671" i="1"/>
  <c r="B671" i="1" s="1"/>
  <c r="S653" i="1"/>
  <c r="Q653" i="1"/>
  <c r="M653" i="1"/>
  <c r="E653" i="1"/>
  <c r="A653" i="1"/>
  <c r="B653" i="1" s="1"/>
  <c r="S635" i="1"/>
  <c r="Q635" i="1"/>
  <c r="M635" i="1"/>
  <c r="E635" i="1"/>
  <c r="D635" i="1" s="1"/>
  <c r="A635" i="1"/>
  <c r="B635" i="1" s="1"/>
  <c r="S613" i="1"/>
  <c r="Q613" i="1"/>
  <c r="M613" i="1"/>
  <c r="E613" i="1"/>
  <c r="A613" i="1"/>
  <c r="B613" i="1" s="1"/>
  <c r="S590" i="1"/>
  <c r="Q590" i="1"/>
  <c r="M590" i="1"/>
  <c r="E590" i="1"/>
  <c r="A590" i="1"/>
  <c r="B590" i="1" s="1"/>
  <c r="S589" i="1"/>
  <c r="Q589" i="1"/>
  <c r="M589" i="1"/>
  <c r="E589" i="1"/>
  <c r="A589" i="1"/>
  <c r="B589" i="1" s="1"/>
  <c r="S587" i="1"/>
  <c r="Q587" i="1"/>
  <c r="M587" i="1"/>
  <c r="E587" i="1"/>
  <c r="A587" i="1"/>
  <c r="B587" i="1" s="1"/>
  <c r="S586" i="1"/>
  <c r="Q586" i="1"/>
  <c r="M586" i="1"/>
  <c r="E586" i="1"/>
  <c r="A586" i="1"/>
  <c r="B586" i="1" s="1"/>
  <c r="S591" i="1"/>
  <c r="Q591" i="1"/>
  <c r="M591" i="1"/>
  <c r="E591" i="1"/>
  <c r="A591" i="1"/>
  <c r="B591" i="1" s="1"/>
  <c r="S584" i="1"/>
  <c r="Q584" i="1"/>
  <c r="M584" i="1"/>
  <c r="E584" i="1"/>
  <c r="A584" i="1"/>
  <c r="B584" i="1" s="1"/>
  <c r="S577" i="1"/>
  <c r="Q577" i="1"/>
  <c r="M577" i="1"/>
  <c r="E577" i="1"/>
  <c r="A577" i="1"/>
  <c r="B577" i="1" s="1"/>
  <c r="S578" i="1"/>
  <c r="Q578" i="1"/>
  <c r="M578" i="1"/>
  <c r="E578" i="1"/>
  <c r="A578" i="1"/>
  <c r="B578" i="1" s="1"/>
  <c r="S579" i="1"/>
  <c r="Q579" i="1"/>
  <c r="M579" i="1"/>
  <c r="E579" i="1"/>
  <c r="A579" i="1"/>
  <c r="B579" i="1" s="1"/>
  <c r="S580" i="1"/>
  <c r="Q580" i="1"/>
  <c r="M580" i="1"/>
  <c r="E580" i="1"/>
  <c r="A580" i="1"/>
  <c r="B580" i="1" s="1"/>
  <c r="S581" i="1"/>
  <c r="Q581" i="1"/>
  <c r="M581" i="1"/>
  <c r="E581" i="1"/>
  <c r="D581" i="1" s="1"/>
  <c r="A581" i="1"/>
  <c r="B581" i="1" s="1"/>
  <c r="S571" i="1"/>
  <c r="Q571" i="1"/>
  <c r="M571" i="1"/>
  <c r="E571" i="1"/>
  <c r="A571" i="1"/>
  <c r="B571" i="1" s="1"/>
  <c r="S552" i="1"/>
  <c r="Q552" i="1"/>
  <c r="M552" i="1"/>
  <c r="E552" i="1"/>
  <c r="A552" i="1"/>
  <c r="B552" i="1" s="1"/>
  <c r="S522" i="1"/>
  <c r="Q522" i="1"/>
  <c r="M522" i="1"/>
  <c r="E522" i="1"/>
  <c r="A522" i="1"/>
  <c r="B522" i="1" s="1"/>
  <c r="S523" i="1"/>
  <c r="Q523" i="1"/>
  <c r="M523" i="1"/>
  <c r="E523" i="1"/>
  <c r="A523" i="1"/>
  <c r="B523" i="1" s="1"/>
  <c r="S500" i="1"/>
  <c r="Q500" i="1"/>
  <c r="M500" i="1"/>
  <c r="E500" i="1"/>
  <c r="A500" i="1"/>
  <c r="B500" i="1" s="1"/>
  <c r="S480" i="1"/>
  <c r="Q480" i="1"/>
  <c r="M480" i="1"/>
  <c r="E480" i="1"/>
  <c r="A480" i="1"/>
  <c r="B480" i="1" s="1"/>
  <c r="S454" i="1"/>
  <c r="Q454" i="1"/>
  <c r="M454" i="1"/>
  <c r="E454" i="1"/>
  <c r="A454" i="1"/>
  <c r="B454" i="1" s="1"/>
  <c r="S455" i="1"/>
  <c r="Q455" i="1"/>
  <c r="M455" i="1"/>
  <c r="E455" i="1"/>
  <c r="A455" i="1"/>
  <c r="B455" i="1" s="1"/>
  <c r="S456" i="1"/>
  <c r="Q456" i="1"/>
  <c r="M456" i="1"/>
  <c r="E456" i="1"/>
  <c r="A456" i="1"/>
  <c r="B456" i="1" s="1"/>
  <c r="S457" i="1"/>
  <c r="Q457" i="1"/>
  <c r="M457" i="1"/>
  <c r="E457" i="1"/>
  <c r="A457" i="1"/>
  <c r="B457" i="1" s="1"/>
  <c r="S458" i="1"/>
  <c r="Q458" i="1"/>
  <c r="M458" i="1"/>
  <c r="E458" i="1"/>
  <c r="A458" i="1"/>
  <c r="B458" i="1" s="1"/>
  <c r="S451" i="1"/>
  <c r="Q451" i="1"/>
  <c r="M451" i="1"/>
  <c r="E451" i="1"/>
  <c r="D451" i="1" s="1"/>
  <c r="A451" i="1"/>
  <c r="B451" i="1" s="1"/>
  <c r="S435" i="1"/>
  <c r="Q435" i="1"/>
  <c r="M435" i="1"/>
  <c r="E435" i="1"/>
  <c r="A435" i="1"/>
  <c r="B435" i="1" s="1"/>
  <c r="S444" i="1"/>
  <c r="Q444" i="1"/>
  <c r="M444" i="1"/>
  <c r="E444" i="1"/>
  <c r="A444" i="1"/>
  <c r="B444" i="1" s="1"/>
  <c r="S437" i="1"/>
  <c r="Q437" i="1"/>
  <c r="M437" i="1"/>
  <c r="E437" i="1"/>
  <c r="A437" i="1"/>
  <c r="B437" i="1" s="1"/>
  <c r="S438" i="1"/>
  <c r="Q438" i="1"/>
  <c r="M438" i="1"/>
  <c r="E438" i="1"/>
  <c r="A438" i="1"/>
  <c r="B438" i="1" s="1"/>
  <c r="S439" i="1"/>
  <c r="Q439" i="1"/>
  <c r="M439" i="1"/>
  <c r="E439" i="1"/>
  <c r="A439" i="1"/>
  <c r="B439" i="1" s="1"/>
  <c r="S440" i="1"/>
  <c r="Q440" i="1"/>
  <c r="M440" i="1"/>
  <c r="E440" i="1"/>
  <c r="A440" i="1"/>
  <c r="B440" i="1" s="1"/>
  <c r="S441" i="1"/>
  <c r="Q441" i="1"/>
  <c r="M441" i="1"/>
  <c r="E441" i="1"/>
  <c r="A441" i="1"/>
  <c r="B441" i="1" s="1"/>
  <c r="S442" i="1"/>
  <c r="Q442" i="1"/>
  <c r="M442" i="1"/>
  <c r="E442" i="1"/>
  <c r="A442" i="1"/>
  <c r="B442" i="1" s="1"/>
  <c r="S443" i="1"/>
  <c r="Q443" i="1"/>
  <c r="M443" i="1"/>
  <c r="E443" i="1"/>
  <c r="A443" i="1"/>
  <c r="B443" i="1" s="1"/>
  <c r="S425" i="1"/>
  <c r="Q425" i="1"/>
  <c r="M425" i="1"/>
  <c r="E425" i="1"/>
  <c r="A425" i="1"/>
  <c r="B425" i="1" s="1"/>
  <c r="S423" i="1"/>
  <c r="Q423" i="1"/>
  <c r="M423" i="1"/>
  <c r="E423" i="1"/>
  <c r="A423" i="1"/>
  <c r="B423" i="1" s="1"/>
  <c r="S415" i="1"/>
  <c r="Q415" i="1"/>
  <c r="M415" i="1"/>
  <c r="E415" i="1"/>
  <c r="D415" i="1" s="1"/>
  <c r="A415" i="1"/>
  <c r="B415" i="1" s="1"/>
  <c r="S402" i="1"/>
  <c r="Q402" i="1"/>
  <c r="M402" i="1"/>
  <c r="E402" i="1"/>
  <c r="A402" i="1"/>
  <c r="B402" i="1" s="1"/>
  <c r="S414" i="1"/>
  <c r="Q414" i="1"/>
  <c r="M414" i="1"/>
  <c r="E414" i="1"/>
  <c r="A414" i="1"/>
  <c r="B414" i="1" s="1"/>
  <c r="S403" i="1"/>
  <c r="Q403" i="1"/>
  <c r="M403" i="1"/>
  <c r="E403" i="1"/>
  <c r="A403" i="1"/>
  <c r="B403" i="1" s="1"/>
  <c r="S398" i="1"/>
  <c r="Q398" i="1"/>
  <c r="M398" i="1"/>
  <c r="E398" i="1"/>
  <c r="D398" i="1" s="1"/>
  <c r="A398" i="1"/>
  <c r="B398" i="1" s="1"/>
  <c r="S397" i="1"/>
  <c r="Q397" i="1"/>
  <c r="M397" i="1"/>
  <c r="E397" i="1"/>
  <c r="A397" i="1"/>
  <c r="B397" i="1" s="1"/>
  <c r="S399" i="1"/>
  <c r="Q399" i="1"/>
  <c r="M399" i="1"/>
  <c r="E399" i="1"/>
  <c r="A399" i="1"/>
  <c r="B399" i="1" s="1"/>
  <c r="S400" i="1"/>
  <c r="Q400" i="1"/>
  <c r="M400" i="1"/>
  <c r="E400" i="1"/>
  <c r="A400" i="1"/>
  <c r="B400" i="1" s="1"/>
  <c r="S469" i="1"/>
  <c r="Q469" i="1"/>
  <c r="M469" i="1"/>
  <c r="E469" i="1"/>
  <c r="A469" i="1"/>
  <c r="B469" i="1" s="1"/>
  <c r="S470" i="1"/>
  <c r="Q470" i="1"/>
  <c r="M470" i="1"/>
  <c r="E470" i="1"/>
  <c r="A470" i="1"/>
  <c r="B470" i="1" s="1"/>
  <c r="S301" i="1"/>
  <c r="Q301" i="1"/>
  <c r="O301" i="1"/>
  <c r="M301" i="1"/>
  <c r="E301" i="1"/>
  <c r="A301" i="1"/>
  <c r="B301" i="1" s="1"/>
  <c r="S289" i="1"/>
  <c r="Q289" i="1"/>
  <c r="O289" i="1"/>
  <c r="M289" i="1"/>
  <c r="E289" i="1"/>
  <c r="A289" i="1"/>
  <c r="B289" i="1" s="1"/>
  <c r="S291" i="1"/>
  <c r="Q291" i="1"/>
  <c r="O291" i="1"/>
  <c r="M291" i="1"/>
  <c r="E291" i="1"/>
  <c r="A291" i="1"/>
  <c r="B291" i="1" s="1"/>
  <c r="S292" i="1"/>
  <c r="Q292" i="1"/>
  <c r="O292" i="1"/>
  <c r="M292" i="1"/>
  <c r="E292" i="1"/>
  <c r="A292" i="1"/>
  <c r="B292" i="1" s="1"/>
  <c r="S297" i="1"/>
  <c r="Q297" i="1"/>
  <c r="O297" i="1"/>
  <c r="M297" i="1"/>
  <c r="E297" i="1"/>
  <c r="A297" i="1"/>
  <c r="B297" i="1" s="1"/>
  <c r="S67" i="1"/>
  <c r="Q67" i="1"/>
  <c r="M67" i="1"/>
  <c r="E67" i="1"/>
  <c r="D67" i="1" s="1"/>
  <c r="A67" i="1"/>
  <c r="B67" i="1" s="1"/>
  <c r="A63" i="1"/>
  <c r="B63" i="1" s="1"/>
  <c r="S63" i="1"/>
  <c r="Q63" i="1"/>
  <c r="M63" i="1"/>
  <c r="E63" i="1"/>
  <c r="S33" i="1"/>
  <c r="Q33" i="1"/>
  <c r="M33" i="1"/>
  <c r="E33" i="1"/>
  <c r="A33" i="1"/>
  <c r="B33" i="1" s="1"/>
  <c r="D770" i="1" l="1"/>
  <c r="D787" i="1"/>
  <c r="D805" i="1"/>
  <c r="D856" i="1"/>
  <c r="D842" i="1"/>
  <c r="D395" i="1"/>
  <c r="D1100" i="1"/>
  <c r="D1128" i="1"/>
  <c r="D1123" i="1"/>
  <c r="D1120" i="1"/>
  <c r="D1103" i="1"/>
  <c r="D1106" i="1"/>
  <c r="D1110" i="1"/>
  <c r="D1112" i="1"/>
  <c r="D1118" i="1"/>
  <c r="D1140" i="1"/>
  <c r="D1132" i="1"/>
  <c r="D1152" i="1"/>
  <c r="D1182" i="1"/>
  <c r="D1111" i="1"/>
  <c r="D1115" i="1"/>
  <c r="D1141" i="1"/>
  <c r="D1137" i="1"/>
  <c r="D1178" i="1"/>
  <c r="D438" i="1"/>
  <c r="D523" i="1"/>
  <c r="D587" i="1"/>
  <c r="D685" i="1"/>
  <c r="D731" i="1"/>
  <c r="D758" i="1"/>
  <c r="D768" i="1"/>
  <c r="D794" i="1"/>
  <c r="D799" i="1"/>
  <c r="D858" i="1"/>
  <c r="D843" i="1"/>
  <c r="D912" i="1"/>
  <c r="D1102" i="1"/>
  <c r="D1099" i="1"/>
  <c r="D1127" i="1"/>
  <c r="D1122" i="1"/>
  <c r="D1119" i="1"/>
  <c r="D1104" i="1"/>
  <c r="D1107" i="1"/>
  <c r="D1098" i="1"/>
  <c r="D1114" i="1"/>
  <c r="D1142" i="1"/>
  <c r="D1138" i="1"/>
  <c r="D1135" i="1"/>
  <c r="D739" i="1"/>
  <c r="D751" i="1"/>
  <c r="D775" i="1"/>
  <c r="D809" i="1"/>
  <c r="D818" i="1"/>
  <c r="D854" i="1"/>
  <c r="D903" i="1"/>
  <c r="D442" i="1"/>
  <c r="D455" i="1"/>
  <c r="D668" i="1"/>
  <c r="D715" i="1"/>
  <c r="D469" i="1"/>
  <c r="D577" i="1"/>
  <c r="D778" i="1"/>
  <c r="D782" i="1"/>
  <c r="D800" i="1"/>
  <c r="D863" i="1"/>
  <c r="D857" i="1"/>
  <c r="D846" i="1"/>
  <c r="D906" i="1"/>
  <c r="D908" i="1"/>
  <c r="D1003" i="1"/>
  <c r="D33" i="1"/>
  <c r="D63" i="1"/>
  <c r="D399" i="1"/>
  <c r="D414" i="1"/>
  <c r="D425" i="1"/>
  <c r="D440" i="1"/>
  <c r="D444" i="1"/>
  <c r="D457" i="1"/>
  <c r="D480" i="1"/>
  <c r="D552" i="1"/>
  <c r="D579" i="1"/>
  <c r="D591" i="1"/>
  <c r="D590" i="1"/>
  <c r="D671" i="1"/>
  <c r="D687" i="1"/>
  <c r="D713" i="1"/>
  <c r="D717" i="1"/>
  <c r="D734" i="1"/>
  <c r="D729" i="1"/>
  <c r="D741" i="1"/>
  <c r="D745" i="1"/>
  <c r="D756" i="1"/>
  <c r="D748" i="1"/>
  <c r="D771" i="1"/>
  <c r="D766" i="1"/>
  <c r="D777" i="1"/>
  <c r="D781" i="1"/>
  <c r="D792" i="1"/>
  <c r="D807" i="1"/>
  <c r="D811" i="1"/>
  <c r="D803" i="1"/>
  <c r="D817" i="1"/>
  <c r="D862" i="1"/>
  <c r="D860" i="1"/>
  <c r="D850" i="1"/>
  <c r="D847" i="1"/>
  <c r="D845" i="1"/>
  <c r="D905" i="1"/>
  <c r="D914" i="1"/>
  <c r="D1002" i="1"/>
  <c r="D1169" i="1"/>
  <c r="D1180" i="1"/>
  <c r="D1176" i="1"/>
  <c r="D127" i="1"/>
  <c r="D1175" i="1"/>
  <c r="D297" i="1"/>
  <c r="D291" i="1"/>
  <c r="D301" i="1"/>
  <c r="D400" i="1"/>
  <c r="D403" i="1"/>
  <c r="D423" i="1"/>
  <c r="D441" i="1"/>
  <c r="D437" i="1"/>
  <c r="D458" i="1"/>
  <c r="D454" i="1"/>
  <c r="D522" i="1"/>
  <c r="D580" i="1"/>
  <c r="D584" i="1"/>
  <c r="D589" i="1"/>
  <c r="D653" i="1"/>
  <c r="D670" i="1"/>
  <c r="D684" i="1"/>
  <c r="D711" i="1"/>
  <c r="D735" i="1"/>
  <c r="D730" i="1"/>
  <c r="D725" i="1"/>
  <c r="D738" i="1"/>
  <c r="D757" i="1"/>
  <c r="D747" i="1"/>
  <c r="D753" i="1"/>
  <c r="D767" i="1"/>
  <c r="D793" i="1"/>
  <c r="D806" i="1"/>
  <c r="D810" i="1"/>
  <c r="D813" i="1"/>
  <c r="D859" i="1"/>
  <c r="D844" i="1"/>
  <c r="D1155" i="1"/>
  <c r="D1181" i="1"/>
  <c r="D1177" i="1"/>
  <c r="D292" i="1"/>
  <c r="D289" i="1"/>
  <c r="D470" i="1"/>
  <c r="D397" i="1"/>
  <c r="D402" i="1"/>
  <c r="D443" i="1"/>
  <c r="D439" i="1"/>
  <c r="D435" i="1"/>
  <c r="D456" i="1"/>
  <c r="D500" i="1"/>
  <c r="D571" i="1"/>
  <c r="D578" i="1"/>
  <c r="D586" i="1"/>
  <c r="D613" i="1"/>
  <c r="D669" i="1"/>
  <c r="D686" i="1"/>
  <c r="D710" i="1"/>
  <c r="D716" i="1"/>
  <c r="D732" i="1"/>
  <c r="D728" i="1"/>
  <c r="D740" i="1"/>
  <c r="D759" i="1"/>
  <c r="D755" i="1"/>
  <c r="D749" i="1"/>
  <c r="D769" i="1"/>
  <c r="D765" i="1"/>
  <c r="D783" i="1"/>
  <c r="D796" i="1"/>
  <c r="D789" i="1"/>
  <c r="D808" i="1"/>
  <c r="D798" i="1"/>
  <c r="D804" i="1"/>
  <c r="D819" i="1"/>
  <c r="D861" i="1"/>
  <c r="D855" i="1"/>
  <c r="D851" i="1"/>
  <c r="D848" i="1"/>
  <c r="D839" i="1"/>
  <c r="D904" i="1"/>
  <c r="D913" i="1"/>
  <c r="D396" i="1"/>
  <c r="D1173" i="1"/>
  <c r="D1179" i="1"/>
  <c r="D1168" i="1"/>
  <c r="N1186" i="1"/>
  <c r="X1186" i="1"/>
  <c r="AC1186" i="1"/>
  <c r="AA1186" i="1"/>
  <c r="L1186" i="1"/>
  <c r="Z1186" i="1"/>
  <c r="K1186" i="1"/>
  <c r="Y1186" i="1"/>
  <c r="W1186" i="1"/>
  <c r="V1186" i="1"/>
  <c r="U1186" i="1"/>
  <c r="T1186" i="1"/>
  <c r="AD1186" i="1"/>
  <c r="R1186" i="1"/>
  <c r="P1186" i="1"/>
  <c r="AB1890" i="1"/>
  <c r="L1890" i="1"/>
  <c r="AA1890" i="1"/>
  <c r="K1890" i="1"/>
  <c r="Z1890" i="1"/>
  <c r="Y1890" i="1"/>
  <c r="X1890" i="1"/>
  <c r="W1890" i="1"/>
  <c r="V1890" i="1"/>
  <c r="U1890" i="1"/>
  <c r="AB1186" i="1"/>
  <c r="T1890" i="1"/>
  <c r="AD1890" i="1"/>
  <c r="R1890" i="1"/>
  <c r="P1890" i="1"/>
  <c r="AC1890" i="1"/>
  <c r="T10" i="1"/>
  <c r="AC10" i="1"/>
  <c r="X10" i="1"/>
  <c r="L10" i="1"/>
  <c r="W10" i="1"/>
  <c r="K10" i="1"/>
  <c r="V10" i="1"/>
  <c r="AD10" i="1"/>
  <c r="R10" i="1"/>
  <c r="U10" i="1"/>
  <c r="AB10" i="1"/>
  <c r="P10" i="1"/>
  <c r="AA10" i="1"/>
  <c r="Z10" i="1"/>
  <c r="N10" i="1"/>
  <c r="Y10" i="1"/>
  <c r="K8" i="1" l="1"/>
  <c r="L8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9" i="1"/>
  <c r="A2758" i="1"/>
  <c r="A2714" i="1"/>
  <c r="A2710" i="1"/>
  <c r="A2711" i="1"/>
  <c r="A2712" i="1"/>
  <c r="A2709" i="1"/>
  <c r="A2706" i="1"/>
  <c r="A2707" i="1"/>
  <c r="A2705" i="1"/>
  <c r="A2701" i="1"/>
  <c r="A2702" i="1"/>
  <c r="A2703" i="1"/>
  <c r="A2700" i="1"/>
  <c r="A2692" i="1"/>
  <c r="A2693" i="1"/>
  <c r="A2694" i="1"/>
  <c r="A2695" i="1"/>
  <c r="A2696" i="1"/>
  <c r="A2697" i="1"/>
  <c r="A2698" i="1"/>
  <c r="A2691" i="1"/>
  <c r="A2689" i="1"/>
  <c r="A2688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69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61" i="1"/>
  <c r="A2662" i="1"/>
  <c r="A2663" i="1"/>
  <c r="A2664" i="1"/>
  <c r="A2659" i="1"/>
  <c r="A2660" i="1"/>
  <c r="A2665" i="1"/>
  <c r="A2666" i="1"/>
  <c r="A2667" i="1"/>
  <c r="A2617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74" i="1"/>
  <c r="A2375" i="1"/>
  <c r="A2376" i="1"/>
  <c r="A2377" i="1"/>
  <c r="A2378" i="1"/>
  <c r="A2379" i="1"/>
  <c r="A2368" i="1"/>
  <c r="A2369" i="1"/>
  <c r="A2370" i="1"/>
  <c r="A2371" i="1"/>
  <c r="A2372" i="1"/>
  <c r="A2373" i="1"/>
  <c r="A2380" i="1"/>
  <c r="A2381" i="1"/>
  <c r="A2382" i="1"/>
  <c r="A2383" i="1"/>
  <c r="A2386" i="1"/>
  <c r="A2387" i="1"/>
  <c r="A2384" i="1"/>
  <c r="A2388" i="1"/>
  <c r="A2385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5" i="1"/>
  <c r="A2406" i="1"/>
  <c r="A2407" i="1"/>
  <c r="A2408" i="1"/>
  <c r="A2409" i="1"/>
  <c r="A2410" i="1"/>
  <c r="A2411" i="1"/>
  <c r="A2404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7" i="1"/>
  <c r="A2506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77" i="1"/>
  <c r="A2578" i="1"/>
  <c r="A2569" i="1"/>
  <c r="A2570" i="1"/>
  <c r="A2571" i="1"/>
  <c r="A2572" i="1"/>
  <c r="A2573" i="1"/>
  <c r="A2574" i="1"/>
  <c r="A2575" i="1"/>
  <c r="A2576" i="1"/>
  <c r="A2579" i="1"/>
  <c r="A2580" i="1"/>
  <c r="A2581" i="1"/>
  <c r="A2582" i="1"/>
  <c r="A2583" i="1"/>
  <c r="A2584" i="1"/>
  <c r="A2585" i="1"/>
  <c r="A2586" i="1"/>
  <c r="A2587" i="1"/>
  <c r="A2588" i="1"/>
  <c r="A2590" i="1"/>
  <c r="A2589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334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31" i="1"/>
  <c r="A2329" i="1"/>
  <c r="A2330" i="1"/>
  <c r="A2332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3" i="1"/>
  <c r="A2314" i="1"/>
  <c r="A2312" i="1"/>
  <c r="A2286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6" i="1"/>
  <c r="A2267" i="1"/>
  <c r="A2265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03" i="1"/>
  <c r="A2201" i="1"/>
  <c r="A2200" i="1"/>
  <c r="A2190" i="1" l="1"/>
  <c r="A2191" i="1"/>
  <c r="A2194" i="1"/>
  <c r="A2192" i="1"/>
  <c r="A2193" i="1"/>
  <c r="A2195" i="1"/>
  <c r="A2196" i="1"/>
  <c r="A2197" i="1"/>
  <c r="A2198" i="1"/>
  <c r="A2189" i="1"/>
  <c r="A2172" i="1"/>
  <c r="A2173" i="1"/>
  <c r="A2174" i="1"/>
  <c r="A2175" i="1"/>
  <c r="A2171" i="1"/>
  <c r="A2176" i="1"/>
  <c r="A2177" i="1"/>
  <c r="A2178" i="1"/>
  <c r="A2179" i="1"/>
  <c r="A2180" i="1"/>
  <c r="A2181" i="1"/>
  <c r="A2184" i="1"/>
  <c r="A2185" i="1"/>
  <c r="A2186" i="1"/>
  <c r="A2182" i="1"/>
  <c r="A2183" i="1"/>
  <c r="A2187" i="1"/>
  <c r="A2170" i="1"/>
  <c r="A2150" i="1"/>
  <c r="A2151" i="1"/>
  <c r="A2152" i="1"/>
  <c r="A2153" i="1"/>
  <c r="A2154" i="1"/>
  <c r="A2155" i="1"/>
  <c r="A2156" i="1"/>
  <c r="A2159" i="1"/>
  <c r="A2157" i="1"/>
  <c r="A2158" i="1"/>
  <c r="A2160" i="1"/>
  <c r="A2161" i="1"/>
  <c r="A2162" i="1"/>
  <c r="A2163" i="1"/>
  <c r="A2164" i="1"/>
  <c r="A2165" i="1"/>
  <c r="A2166" i="1"/>
  <c r="A2167" i="1"/>
  <c r="A2168" i="1"/>
  <c r="A2149" i="1"/>
  <c r="A2147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30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14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098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56" i="1"/>
  <c r="A2058" i="1"/>
  <c r="A2059" i="1"/>
  <c r="A2060" i="1"/>
  <c r="A2061" i="1"/>
  <c r="A2062" i="1"/>
  <c r="A2063" i="1"/>
  <c r="A2064" i="1"/>
  <c r="A2057" i="1"/>
  <c r="A2054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8" i="1"/>
  <c r="A1916" i="1"/>
  <c r="A1917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6" i="1"/>
  <c r="A1937" i="1"/>
  <c r="A1938" i="1"/>
  <c r="A1939" i="1"/>
  <c r="A1934" i="1"/>
  <c r="A1935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6" i="1"/>
  <c r="A1962" i="1"/>
  <c r="A1963" i="1"/>
  <c r="A1967" i="1"/>
  <c r="A1968" i="1"/>
  <c r="A1969" i="1"/>
  <c r="A1970" i="1"/>
  <c r="A1971" i="1"/>
  <c r="A1964" i="1"/>
  <c r="A1965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91" i="1"/>
  <c r="A1989" i="1"/>
  <c r="A1990" i="1"/>
  <c r="A1992" i="1"/>
  <c r="A1993" i="1"/>
  <c r="A1994" i="1"/>
  <c r="A1995" i="1"/>
  <c r="A1996" i="1"/>
  <c r="A1997" i="1"/>
  <c r="A1998" i="1"/>
  <c r="A1999" i="1"/>
  <c r="A2000" i="1"/>
  <c r="A2001" i="1"/>
  <c r="A1903" i="1"/>
  <c r="A1893" i="1"/>
  <c r="A1894" i="1"/>
  <c r="A1895" i="1"/>
  <c r="A1896" i="1"/>
  <c r="A1897" i="1"/>
  <c r="A1898" i="1"/>
  <c r="A1899" i="1"/>
  <c r="A1900" i="1"/>
  <c r="A1901" i="1"/>
  <c r="A1892" i="1"/>
  <c r="A1877" i="1"/>
  <c r="A1878" i="1"/>
  <c r="A1879" i="1"/>
  <c r="A1880" i="1"/>
  <c r="A1882" i="1"/>
  <c r="A1884" i="1"/>
  <c r="A1885" i="1"/>
  <c r="A1886" i="1"/>
  <c r="A1887" i="1"/>
  <c r="A1888" i="1"/>
  <c r="A1876" i="1"/>
  <c r="A1871" i="1"/>
  <c r="A1872" i="1"/>
  <c r="A1873" i="1"/>
  <c r="A1874" i="1"/>
  <c r="A1870" i="1"/>
  <c r="A1867" i="1"/>
  <c r="A1868" i="1"/>
  <c r="A1866" i="1"/>
  <c r="A1864" i="1"/>
  <c r="A1863" i="1"/>
  <c r="A1858" i="1"/>
  <c r="A1859" i="1"/>
  <c r="A1860" i="1"/>
  <c r="A1861" i="1"/>
  <c r="A1857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38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4" i="1"/>
  <c r="A1830" i="1"/>
  <c r="A1831" i="1"/>
  <c r="A1832" i="1"/>
  <c r="A1833" i="1"/>
  <c r="A1835" i="1"/>
  <c r="A1836" i="1"/>
  <c r="A1791" i="1"/>
  <c r="A1524" i="1"/>
  <c r="A1525" i="1"/>
  <c r="A1526" i="1"/>
  <c r="A1527" i="1"/>
  <c r="A1528" i="1"/>
  <c r="A1530" i="1"/>
  <c r="A1531" i="1"/>
  <c r="A1532" i="1"/>
  <c r="A1533" i="1"/>
  <c r="A1534" i="1"/>
  <c r="A1536" i="1"/>
  <c r="A1537" i="1"/>
  <c r="A1538" i="1"/>
  <c r="A1539" i="1"/>
  <c r="A1540" i="1"/>
  <c r="A1541" i="1"/>
  <c r="A1542" i="1"/>
  <c r="A1543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70" i="1"/>
  <c r="A1571" i="1"/>
  <c r="A1572" i="1"/>
  <c r="A1574" i="1"/>
  <c r="A1573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3" i="1"/>
  <c r="A1601" i="1"/>
  <c r="A1605" i="1"/>
  <c r="A1606" i="1"/>
  <c r="A1604" i="1"/>
  <c r="A1607" i="1"/>
  <c r="A1608" i="1"/>
  <c r="A1610" i="1"/>
  <c r="A1609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8" i="1"/>
  <c r="A1627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1" i="1"/>
  <c r="A1652" i="1"/>
  <c r="A1653" i="1"/>
  <c r="A1654" i="1"/>
  <c r="A1655" i="1"/>
  <c r="A1656" i="1"/>
  <c r="A1657" i="1"/>
  <c r="A1658" i="1"/>
  <c r="A1659" i="1"/>
  <c r="A1650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90" i="1"/>
  <c r="A1691" i="1"/>
  <c r="A1692" i="1"/>
  <c r="A1693" i="1"/>
  <c r="A1694" i="1"/>
  <c r="A1695" i="1"/>
  <c r="A1696" i="1"/>
  <c r="A1697" i="1"/>
  <c r="A1698" i="1"/>
  <c r="A1699" i="1"/>
  <c r="A1700" i="1"/>
  <c r="A1689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8" i="1"/>
  <c r="A1719" i="1"/>
  <c r="A1720" i="1"/>
  <c r="A1717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8" i="1"/>
  <c r="A1739" i="1"/>
  <c r="A1740" i="1"/>
  <c r="A1741" i="1"/>
  <c r="A1742" i="1"/>
  <c r="A1735" i="1"/>
  <c r="A1736" i="1"/>
  <c r="A1737" i="1"/>
  <c r="A1743" i="1"/>
  <c r="A1744" i="1"/>
  <c r="A1745" i="1"/>
  <c r="A1746" i="1"/>
  <c r="A1750" i="1"/>
  <c r="A1751" i="1"/>
  <c r="A1752" i="1"/>
  <c r="A1747" i="1"/>
  <c r="A1748" i="1"/>
  <c r="A1749" i="1"/>
  <c r="A1753" i="1"/>
  <c r="A1754" i="1"/>
  <c r="A1755" i="1"/>
  <c r="A1756" i="1"/>
  <c r="A1757" i="1"/>
  <c r="A1758" i="1"/>
  <c r="A1759" i="1"/>
  <c r="A1762" i="1"/>
  <c r="A1763" i="1"/>
  <c r="A1760" i="1"/>
  <c r="A1761" i="1"/>
  <c r="A1764" i="1"/>
  <c r="A1769" i="1"/>
  <c r="A1765" i="1"/>
  <c r="A1768" i="1"/>
  <c r="A1766" i="1"/>
  <c r="A1767" i="1"/>
  <c r="A1770" i="1"/>
  <c r="A1771" i="1"/>
  <c r="A1773" i="1"/>
  <c r="A1772" i="1"/>
  <c r="A1774" i="1"/>
  <c r="A1775" i="1"/>
  <c r="A1778" i="1"/>
  <c r="A1779" i="1"/>
  <c r="A1780" i="1"/>
  <c r="A1776" i="1"/>
  <c r="A1777" i="1"/>
  <c r="A1781" i="1"/>
  <c r="A1782" i="1"/>
  <c r="A1783" i="1"/>
  <c r="A1784" i="1"/>
  <c r="A1785" i="1"/>
  <c r="A1786" i="1"/>
  <c r="A1787" i="1"/>
  <c r="A1788" i="1"/>
  <c r="A1789" i="1"/>
  <c r="A1529" i="1"/>
  <c r="A1472" i="1"/>
  <c r="A1473" i="1"/>
  <c r="A1474" i="1"/>
  <c r="A1475" i="1"/>
  <c r="A1476" i="1"/>
  <c r="A1477" i="1"/>
  <c r="A1478" i="1"/>
  <c r="A1479" i="1"/>
  <c r="A1480" i="1"/>
  <c r="A1481" i="1"/>
  <c r="A1482" i="1"/>
  <c r="A1484" i="1"/>
  <c r="A1485" i="1"/>
  <c r="A1483" i="1"/>
  <c r="A1489" i="1"/>
  <c r="A1486" i="1"/>
  <c r="A1487" i="1"/>
  <c r="A1488" i="1"/>
  <c r="A1490" i="1"/>
  <c r="A1491" i="1"/>
  <c r="A1492" i="1"/>
  <c r="A1493" i="1"/>
  <c r="A1494" i="1"/>
  <c r="A1495" i="1"/>
  <c r="A1496" i="1"/>
  <c r="A1497" i="1"/>
  <c r="A1498" i="1"/>
  <c r="A1500" i="1"/>
  <c r="A1501" i="1"/>
  <c r="A1502" i="1"/>
  <c r="A1503" i="1"/>
  <c r="A1504" i="1"/>
  <c r="A1499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471" i="1"/>
  <c r="A1442" i="1"/>
  <c r="A1444" i="1"/>
  <c r="A1445" i="1"/>
  <c r="A1446" i="1"/>
  <c r="A1447" i="1"/>
  <c r="A1448" i="1"/>
  <c r="A1449" i="1"/>
  <c r="A1450" i="1"/>
  <c r="A1452" i="1"/>
  <c r="A1453" i="1"/>
  <c r="A1451" i="1"/>
  <c r="A1454" i="1"/>
  <c r="A1455" i="1"/>
  <c r="A1456" i="1"/>
  <c r="A1457" i="1"/>
  <c r="A1458" i="1"/>
  <c r="A1461" i="1"/>
  <c r="A1462" i="1"/>
  <c r="A1459" i="1"/>
  <c r="A1460" i="1"/>
  <c r="A1463" i="1"/>
  <c r="A1469" i="1"/>
  <c r="A1464" i="1"/>
  <c r="A1465" i="1"/>
  <c r="A1466" i="1"/>
  <c r="A1467" i="1"/>
  <c r="A1468" i="1"/>
  <c r="A1443" i="1"/>
  <c r="A1406" i="1"/>
  <c r="A1407" i="1"/>
  <c r="A1408" i="1"/>
  <c r="A1409" i="1"/>
  <c r="A1410" i="1"/>
  <c r="A1411" i="1"/>
  <c r="A1412" i="1"/>
  <c r="A1414" i="1"/>
  <c r="A1415" i="1"/>
  <c r="A1413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05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387" i="1"/>
  <c r="A1385" i="1"/>
  <c r="A1376" i="1"/>
  <c r="A1377" i="1"/>
  <c r="A1378" i="1"/>
  <c r="A1381" i="1"/>
  <c r="A1382" i="1"/>
  <c r="A1379" i="1"/>
  <c r="A1380" i="1"/>
  <c r="A1383" i="1"/>
  <c r="A1375" i="1"/>
  <c r="A1368" i="1"/>
  <c r="A1369" i="1"/>
  <c r="A1370" i="1"/>
  <c r="A1371" i="1"/>
  <c r="A1372" i="1"/>
  <c r="A1373" i="1"/>
  <c r="A1367" i="1"/>
  <c r="A1365" i="1"/>
  <c r="A1364" i="1"/>
  <c r="A1361" i="1"/>
  <c r="A1362" i="1"/>
  <c r="A1354" i="1"/>
  <c r="A1355" i="1"/>
  <c r="A1349" i="1"/>
  <c r="A1350" i="1"/>
  <c r="A1351" i="1"/>
  <c r="A1352" i="1"/>
  <c r="A1353" i="1"/>
  <c r="A1357" i="1"/>
  <c r="A1358" i="1"/>
  <c r="A1356" i="1"/>
  <c r="A1359" i="1"/>
  <c r="A1348" i="1"/>
  <c r="A1344" i="1"/>
  <c r="A1345" i="1"/>
  <c r="A1346" i="1"/>
  <c r="A1343" i="1"/>
  <c r="A1329" i="1"/>
  <c r="A1324" i="1"/>
  <c r="A1325" i="1"/>
  <c r="A1326" i="1"/>
  <c r="A1327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28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290" i="1"/>
  <c r="A1291" i="1"/>
  <c r="A1292" i="1"/>
  <c r="A1293" i="1"/>
  <c r="A1294" i="1"/>
  <c r="A1295" i="1"/>
  <c r="A1289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70" i="1"/>
  <c r="A1198" i="1"/>
  <c r="A1199" i="1"/>
  <c r="A1200" i="1"/>
  <c r="A1201" i="1"/>
  <c r="A1195" i="1"/>
  <c r="A1202" i="1"/>
  <c r="A1196" i="1"/>
  <c r="A1197" i="1"/>
  <c r="A1203" i="1"/>
  <c r="A1204" i="1"/>
  <c r="A1205" i="1"/>
  <c r="A1206" i="1"/>
  <c r="A1207" i="1"/>
  <c r="A1208" i="1"/>
  <c r="A1209" i="1"/>
  <c r="A1210" i="1"/>
  <c r="A1211" i="1"/>
  <c r="A1212" i="1"/>
  <c r="A1214" i="1"/>
  <c r="A1215" i="1"/>
  <c r="A1216" i="1"/>
  <c r="A1217" i="1"/>
  <c r="A1218" i="1"/>
  <c r="A1219" i="1"/>
  <c r="A1213" i="1"/>
  <c r="A1220" i="1"/>
  <c r="A1221" i="1"/>
  <c r="A1222" i="1"/>
  <c r="A1223" i="1"/>
  <c r="A1225" i="1"/>
  <c r="A1226" i="1"/>
  <c r="A1224" i="1"/>
  <c r="A1228" i="1"/>
  <c r="A1227" i="1"/>
  <c r="A1229" i="1"/>
  <c r="A1230" i="1"/>
  <c r="A1231" i="1"/>
  <c r="A1232" i="1"/>
  <c r="A1233" i="1"/>
  <c r="A1235" i="1"/>
  <c r="A1234" i="1"/>
  <c r="A1236" i="1"/>
  <c r="A1239" i="1"/>
  <c r="A1237" i="1"/>
  <c r="A1238" i="1"/>
  <c r="A1241" i="1"/>
  <c r="A1240" i="1"/>
  <c r="A1242" i="1"/>
  <c r="A1243" i="1"/>
  <c r="A1244" i="1"/>
  <c r="A1245" i="1"/>
  <c r="A1246" i="1"/>
  <c r="A1249" i="1"/>
  <c r="A1247" i="1"/>
  <c r="A1248" i="1"/>
  <c r="A1251" i="1"/>
  <c r="A1252" i="1"/>
  <c r="A1253" i="1"/>
  <c r="A1250" i="1"/>
  <c r="A1254" i="1"/>
  <c r="A1255" i="1"/>
  <c r="A1256" i="1"/>
  <c r="A1257" i="1"/>
  <c r="A1258" i="1"/>
  <c r="A1260" i="1"/>
  <c r="A1259" i="1"/>
  <c r="A1261" i="1"/>
  <c r="A1262" i="1"/>
  <c r="A1263" i="1"/>
  <c r="A1264" i="1"/>
  <c r="A1265" i="1"/>
  <c r="A1266" i="1"/>
  <c r="A1267" i="1"/>
  <c r="A1268" i="1"/>
  <c r="A1194" i="1"/>
  <c r="A1189" i="1"/>
  <c r="A1190" i="1"/>
  <c r="A1191" i="1"/>
  <c r="A1192" i="1"/>
  <c r="A1188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76" i="1"/>
  <c r="A1072" i="1"/>
  <c r="A1071" i="1"/>
  <c r="A1073" i="1"/>
  <c r="A1074" i="1"/>
  <c r="A1070" i="1"/>
  <c r="A1062" i="1"/>
  <c r="A1065" i="1"/>
  <c r="A1066" i="1"/>
  <c r="A1064" i="1"/>
  <c r="A1067" i="1"/>
  <c r="A1068" i="1"/>
  <c r="A1061" i="1"/>
  <c r="A1056" i="1"/>
  <c r="A1057" i="1"/>
  <c r="A1058" i="1"/>
  <c r="A1059" i="1"/>
  <c r="A1055" i="1"/>
  <c r="A1053" i="1"/>
  <c r="A1047" i="1"/>
  <c r="A1048" i="1"/>
  <c r="A1049" i="1"/>
  <c r="A1050" i="1"/>
  <c r="A1051" i="1"/>
  <c r="A1046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19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91" i="1"/>
  <c r="A392" i="1"/>
  <c r="A393" i="1"/>
  <c r="A394" i="1"/>
  <c r="A382" i="1"/>
  <c r="A383" i="1"/>
  <c r="A384" i="1"/>
  <c r="A385" i="1"/>
  <c r="A386" i="1"/>
  <c r="A387" i="1"/>
  <c r="A388" i="1"/>
  <c r="A389" i="1"/>
  <c r="A390" i="1"/>
  <c r="A401" i="1"/>
  <c r="A404" i="1"/>
  <c r="A405" i="1"/>
  <c r="A406" i="1"/>
  <c r="A407" i="1"/>
  <c r="A408" i="1"/>
  <c r="A409" i="1"/>
  <c r="A410" i="1"/>
  <c r="A411" i="1"/>
  <c r="A412" i="1"/>
  <c r="A413" i="1"/>
  <c r="A416" i="1"/>
  <c r="A417" i="1"/>
  <c r="A420" i="1"/>
  <c r="A418" i="1"/>
  <c r="A419" i="1"/>
  <c r="A421" i="1"/>
  <c r="A422" i="1"/>
  <c r="A424" i="1"/>
  <c r="A426" i="1"/>
  <c r="A427" i="1"/>
  <c r="A428" i="1"/>
  <c r="A429" i="1"/>
  <c r="A430" i="1"/>
  <c r="A431" i="1"/>
  <c r="A432" i="1"/>
  <c r="A433" i="1"/>
  <c r="A434" i="1"/>
  <c r="A436" i="1"/>
  <c r="A445" i="1"/>
  <c r="A447" i="1"/>
  <c r="A459" i="1"/>
  <c r="A460" i="1"/>
  <c r="A461" i="1"/>
  <c r="A463" i="1"/>
  <c r="A464" i="1"/>
  <c r="A465" i="1"/>
  <c r="A462" i="1"/>
  <c r="A466" i="1"/>
  <c r="A467" i="1"/>
  <c r="A468" i="1"/>
  <c r="A471" i="1"/>
  <c r="A472" i="1"/>
  <c r="A473" i="1"/>
  <c r="A448" i="1"/>
  <c r="A450" i="1"/>
  <c r="A452" i="1"/>
  <c r="A453" i="1"/>
  <c r="A449" i="1"/>
  <c r="A474" i="1"/>
  <c r="A475" i="1"/>
  <c r="A476" i="1"/>
  <c r="A477" i="1"/>
  <c r="A478" i="1"/>
  <c r="A479" i="1"/>
  <c r="A481" i="1"/>
  <c r="A482" i="1"/>
  <c r="A483" i="1"/>
  <c r="A484" i="1"/>
  <c r="A495" i="1"/>
  <c r="A496" i="1"/>
  <c r="A497" i="1"/>
  <c r="A485" i="1"/>
  <c r="A486" i="1"/>
  <c r="A487" i="1"/>
  <c r="A488" i="1"/>
  <c r="A489" i="1"/>
  <c r="A490" i="1"/>
  <c r="A491" i="1"/>
  <c r="A492" i="1"/>
  <c r="A493" i="1"/>
  <c r="A494" i="1"/>
  <c r="A498" i="1"/>
  <c r="A499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4" i="1"/>
  <c r="A530" i="1"/>
  <c r="A525" i="1"/>
  <c r="A526" i="1"/>
  <c r="A527" i="1"/>
  <c r="A528" i="1"/>
  <c r="A529" i="1"/>
  <c r="A535" i="1"/>
  <c r="A536" i="1"/>
  <c r="A537" i="1"/>
  <c r="A538" i="1"/>
  <c r="A531" i="1"/>
  <c r="A539" i="1"/>
  <c r="A540" i="1"/>
  <c r="A541" i="1"/>
  <c r="A532" i="1"/>
  <c r="A533" i="1"/>
  <c r="A534" i="1"/>
  <c r="A542" i="1"/>
  <c r="A543" i="1"/>
  <c r="A544" i="1"/>
  <c r="A545" i="1"/>
  <c r="A546" i="1"/>
  <c r="A547" i="1"/>
  <c r="A548" i="1"/>
  <c r="A549" i="1"/>
  <c r="A551" i="1"/>
  <c r="A550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2" i="1"/>
  <c r="A573" i="1"/>
  <c r="A574" i="1"/>
  <c r="A575" i="1"/>
  <c r="A576" i="1"/>
  <c r="A582" i="1"/>
  <c r="A583" i="1"/>
  <c r="A585" i="1"/>
  <c r="A592" i="1"/>
  <c r="A588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4" i="1"/>
  <c r="A615" i="1"/>
  <c r="A616" i="1"/>
  <c r="A617" i="1"/>
  <c r="A618" i="1"/>
  <c r="A619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4" i="1"/>
  <c r="A718" i="1"/>
  <c r="A719" i="1"/>
  <c r="A720" i="1"/>
  <c r="A721" i="1"/>
  <c r="A722" i="1"/>
  <c r="A723" i="1"/>
  <c r="A724" i="1"/>
  <c r="A726" i="1"/>
  <c r="A733" i="1"/>
  <c r="A736" i="1"/>
  <c r="A737" i="1"/>
  <c r="A742" i="1"/>
  <c r="A743" i="1"/>
  <c r="A744" i="1"/>
  <c r="A750" i="1"/>
  <c r="A752" i="1"/>
  <c r="A754" i="1"/>
  <c r="A760" i="1"/>
  <c r="A762" i="1"/>
  <c r="A763" i="1"/>
  <c r="A761" i="1"/>
  <c r="A764" i="1"/>
  <c r="A772" i="1"/>
  <c r="A773" i="1"/>
  <c r="A774" i="1"/>
  <c r="A776" i="1"/>
  <c r="A779" i="1"/>
  <c r="A780" i="1"/>
  <c r="A797" i="1"/>
  <c r="A784" i="1"/>
  <c r="A785" i="1"/>
  <c r="A786" i="1"/>
  <c r="A788" i="1"/>
  <c r="A790" i="1"/>
  <c r="A791" i="1"/>
  <c r="A795" i="1"/>
  <c r="A812" i="1"/>
  <c r="A814" i="1"/>
  <c r="A815" i="1"/>
  <c r="A816" i="1"/>
  <c r="A820" i="1"/>
  <c r="A821" i="1"/>
  <c r="A822" i="1"/>
  <c r="A823" i="1"/>
  <c r="A827" i="1"/>
  <c r="A828" i="1"/>
  <c r="A829" i="1"/>
  <c r="A830" i="1"/>
  <c r="A831" i="1"/>
  <c r="A824" i="1"/>
  <c r="A825" i="1"/>
  <c r="A826" i="1"/>
  <c r="A832" i="1"/>
  <c r="A833" i="1"/>
  <c r="A834" i="1"/>
  <c r="A835" i="1"/>
  <c r="A836" i="1"/>
  <c r="A837" i="1"/>
  <c r="A838" i="1"/>
  <c r="A841" i="1"/>
  <c r="A852" i="1"/>
  <c r="A853" i="1"/>
  <c r="A864" i="1"/>
  <c r="A865" i="1"/>
  <c r="A866" i="1"/>
  <c r="A867" i="1"/>
  <c r="A868" i="1"/>
  <c r="A869" i="1"/>
  <c r="A870" i="1"/>
  <c r="A871" i="1"/>
  <c r="A872" i="1"/>
  <c r="A878" i="1"/>
  <c r="A879" i="1"/>
  <c r="A880" i="1"/>
  <c r="A881" i="1"/>
  <c r="A882" i="1"/>
  <c r="A883" i="1"/>
  <c r="A884" i="1"/>
  <c r="A885" i="1"/>
  <c r="A886" i="1"/>
  <c r="A887" i="1"/>
  <c r="A874" i="1"/>
  <c r="A875" i="1"/>
  <c r="A873" i="1"/>
  <c r="A876" i="1"/>
  <c r="A877" i="1"/>
  <c r="A888" i="1"/>
  <c r="A891" i="1"/>
  <c r="A889" i="1"/>
  <c r="A890" i="1"/>
  <c r="A892" i="1"/>
  <c r="A893" i="1"/>
  <c r="A894" i="1"/>
  <c r="A895" i="1"/>
  <c r="A896" i="1"/>
  <c r="A898" i="1"/>
  <c r="A899" i="1"/>
  <c r="A900" i="1"/>
  <c r="A901" i="1"/>
  <c r="A902" i="1"/>
  <c r="A897" i="1"/>
  <c r="A909" i="1"/>
  <c r="A907" i="1"/>
  <c r="A910" i="1"/>
  <c r="A911" i="1"/>
  <c r="A915" i="1"/>
  <c r="A916" i="1"/>
  <c r="A917" i="1"/>
  <c r="A918" i="1"/>
  <c r="A919" i="1"/>
  <c r="A920" i="1"/>
  <c r="A921" i="1"/>
  <c r="A922" i="1"/>
  <c r="A923" i="1"/>
  <c r="A924" i="1"/>
  <c r="A927" i="1"/>
  <c r="A928" i="1"/>
  <c r="A929" i="1"/>
  <c r="A930" i="1"/>
  <c r="A931" i="1"/>
  <c r="A932" i="1"/>
  <c r="A925" i="1"/>
  <c r="A933" i="1"/>
  <c r="A926" i="1"/>
  <c r="A934" i="1"/>
  <c r="A935" i="1"/>
  <c r="A936" i="1"/>
  <c r="A937" i="1"/>
  <c r="A942" i="1"/>
  <c r="A943" i="1"/>
  <c r="A944" i="1"/>
  <c r="A945" i="1"/>
  <c r="A946" i="1"/>
  <c r="A938" i="1"/>
  <c r="A947" i="1"/>
  <c r="A948" i="1"/>
  <c r="A939" i="1"/>
  <c r="A940" i="1"/>
  <c r="A941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1000" i="1"/>
  <c r="A1001" i="1"/>
  <c r="A999" i="1"/>
  <c r="A1004" i="1"/>
  <c r="A1005" i="1"/>
  <c r="A1006" i="1"/>
  <c r="A1008" i="1"/>
  <c r="A1007" i="1"/>
  <c r="A1009" i="1"/>
  <c r="A1010" i="1"/>
  <c r="A1011" i="1"/>
  <c r="A1015" i="1"/>
  <c r="A1016" i="1"/>
  <c r="A1017" i="1"/>
  <c r="A1012" i="1"/>
  <c r="A1013" i="1"/>
  <c r="A1014" i="1"/>
  <c r="A368" i="1"/>
  <c r="A294" i="1"/>
  <c r="A295" i="1"/>
  <c r="A296" i="1"/>
  <c r="A300" i="1"/>
  <c r="A298" i="1"/>
  <c r="A299" i="1"/>
  <c r="A302" i="1"/>
  <c r="A303" i="1"/>
  <c r="A304" i="1"/>
  <c r="A305" i="1"/>
  <c r="A306" i="1"/>
  <c r="A307" i="1"/>
  <c r="A308" i="1"/>
  <c r="A309" i="1"/>
  <c r="A310" i="1"/>
  <c r="A314" i="1"/>
  <c r="A315" i="1"/>
  <c r="A316" i="1"/>
  <c r="A318" i="1"/>
  <c r="A311" i="1"/>
  <c r="A312" i="1"/>
  <c r="A313" i="1"/>
  <c r="A317" i="1"/>
  <c r="A319" i="1"/>
  <c r="A321" i="1"/>
  <c r="A322" i="1"/>
  <c r="A323" i="1"/>
  <c r="A320" i="1"/>
  <c r="A324" i="1"/>
  <c r="A325" i="1"/>
  <c r="A326" i="1"/>
  <c r="A327" i="1"/>
  <c r="A329" i="1"/>
  <c r="A328" i="1"/>
  <c r="A330" i="1"/>
  <c r="A332" i="1"/>
  <c r="A333" i="1"/>
  <c r="A331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52" i="1"/>
  <c r="A353" i="1"/>
  <c r="A349" i="1"/>
  <c r="A350" i="1"/>
  <c r="A351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293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81" i="1"/>
  <c r="A282" i="1"/>
  <c r="A283" i="1"/>
  <c r="A279" i="1"/>
  <c r="A280" i="1"/>
  <c r="A284" i="1"/>
  <c r="A285" i="1"/>
  <c r="A286" i="1"/>
  <c r="A287" i="1"/>
  <c r="A266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2" i="1"/>
  <c r="A263" i="1"/>
  <c r="A264" i="1"/>
  <c r="A261" i="1"/>
  <c r="A223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184" i="1"/>
  <c r="A182" i="1"/>
  <c r="A181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67" i="1"/>
  <c r="A158" i="1"/>
  <c r="A159" i="1"/>
  <c r="A160" i="1"/>
  <c r="A161" i="1"/>
  <c r="A162" i="1"/>
  <c r="A163" i="1"/>
  <c r="A164" i="1"/>
  <c r="A165" i="1"/>
  <c r="A157" i="1"/>
  <c r="A155" i="1"/>
  <c r="A154" i="1"/>
  <c r="A150" i="1"/>
  <c r="A151" i="1"/>
  <c r="A152" i="1"/>
  <c r="A149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31" i="1"/>
  <c r="A129" i="1"/>
  <c r="A128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11" i="1"/>
  <c r="A108" i="1"/>
  <c r="A109" i="1"/>
  <c r="A110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60" i="1"/>
  <c r="A61" i="1"/>
  <c r="A62" i="1"/>
  <c r="A64" i="1"/>
  <c r="A65" i="1"/>
  <c r="A66" i="1"/>
  <c r="A68" i="1"/>
  <c r="A69" i="1"/>
  <c r="A70" i="1"/>
  <c r="A71" i="1"/>
  <c r="O2693" i="1"/>
  <c r="O2692" i="1"/>
  <c r="O2689" i="1"/>
  <c r="O2688" i="1"/>
  <c r="O2658" i="1"/>
  <c r="O2644" i="1"/>
  <c r="O2643" i="1"/>
  <c r="O2642" i="1"/>
  <c r="O2624" i="1"/>
  <c r="O2623" i="1"/>
  <c r="O2622" i="1"/>
  <c r="O2621" i="1"/>
  <c r="O2613" i="1"/>
  <c r="O2595" i="1"/>
  <c r="O2586" i="1"/>
  <c r="O2583" i="1"/>
  <c r="O2566" i="1"/>
  <c r="O2530" i="1"/>
  <c r="O2520" i="1"/>
  <c r="O2519" i="1"/>
  <c r="O2517" i="1"/>
  <c r="O2515" i="1"/>
  <c r="O2513" i="1"/>
  <c r="O2507" i="1"/>
  <c r="O2472" i="1"/>
  <c r="O2458" i="1"/>
  <c r="O2457" i="1"/>
  <c r="O2453" i="1"/>
  <c r="O2452" i="1"/>
  <c r="O2427" i="1"/>
  <c r="O2421" i="1"/>
  <c r="O2408" i="1"/>
  <c r="O2407" i="1"/>
  <c r="O2406" i="1"/>
  <c r="O2405" i="1"/>
  <c r="O2391" i="1"/>
  <c r="O2378" i="1"/>
  <c r="O2362" i="1"/>
  <c r="O2361" i="1"/>
  <c r="O2359" i="1"/>
  <c r="O2358" i="1"/>
  <c r="O2352" i="1"/>
  <c r="O2350" i="1"/>
  <c r="O2342" i="1"/>
  <c r="O2334" i="1"/>
  <c r="O2309" i="1"/>
  <c r="S2309" i="1"/>
  <c r="S2308" i="1"/>
  <c r="S2307" i="1"/>
  <c r="O2307" i="1"/>
  <c r="S2302" i="1"/>
  <c r="O2302" i="1"/>
  <c r="O2287" i="1"/>
  <c r="S2286" i="1"/>
  <c r="O2286" i="1"/>
  <c r="Q2267" i="1"/>
  <c r="S2260" i="1"/>
  <c r="S2259" i="1"/>
  <c r="S2257" i="1"/>
  <c r="S2254" i="1"/>
  <c r="S2252" i="1"/>
  <c r="S2245" i="1"/>
  <c r="S2244" i="1"/>
  <c r="O2236" i="1"/>
  <c r="O2177" i="1"/>
  <c r="O2173" i="1"/>
  <c r="O2170" i="1"/>
  <c r="O2067" i="1"/>
  <c r="O2066" i="1"/>
  <c r="O2059" i="1"/>
  <c r="O2056" i="1"/>
  <c r="S2041" i="1"/>
  <c r="O2015" i="1"/>
  <c r="O2004" i="1"/>
  <c r="O2065" i="1" l="1"/>
  <c r="O2687" i="1"/>
  <c r="O1944" i="1"/>
  <c r="O1915" i="1"/>
  <c r="O1899" i="1"/>
  <c r="O1183" i="1"/>
  <c r="O1174" i="1"/>
  <c r="O1172" i="1"/>
  <c r="O1171" i="1"/>
  <c r="O1170" i="1"/>
  <c r="O1167" i="1"/>
  <c r="O1166" i="1"/>
  <c r="O1161" i="1"/>
  <c r="O1160" i="1"/>
  <c r="O1156" i="1"/>
  <c r="O1157" i="1"/>
  <c r="O1154" i="1"/>
  <c r="O1151" i="1"/>
  <c r="O1131" i="1"/>
  <c r="O1076" i="1"/>
  <c r="O1071" i="1"/>
  <c r="O1068" i="1"/>
  <c r="O1067" i="1"/>
  <c r="O1044" i="1"/>
  <c r="O1043" i="1"/>
  <c r="O1040" i="1"/>
  <c r="O1039" i="1"/>
  <c r="O1038" i="1"/>
  <c r="O1037" i="1"/>
  <c r="O1036" i="1"/>
  <c r="O1030" i="1"/>
  <c r="O1029" i="1"/>
  <c r="O1027" i="1"/>
  <c r="O1026" i="1"/>
  <c r="O1023" i="1"/>
  <c r="O1022" i="1"/>
  <c r="O1011" i="1"/>
  <c r="O1005" i="1"/>
  <c r="O1006" i="1"/>
  <c r="O1008" i="1"/>
  <c r="O1004" i="1"/>
  <c r="O974" i="1"/>
  <c r="O962" i="1"/>
  <c r="O961" i="1"/>
  <c r="O960" i="1"/>
  <c r="O959" i="1"/>
  <c r="O936" i="1"/>
  <c r="O915" i="1"/>
  <c r="O911" i="1"/>
  <c r="O895" i="1"/>
  <c r="O868" i="1"/>
  <c r="O836" i="1"/>
  <c r="O831" i="1"/>
  <c r="O830" i="1"/>
  <c r="O829" i="1"/>
  <c r="O785" i="1"/>
  <c r="O786" i="1"/>
  <c r="O784" i="1"/>
  <c r="O762" i="1" l="1"/>
  <c r="O658" i="1"/>
  <c r="F1073" i="1"/>
  <c r="S1071" i="1"/>
  <c r="Q1071" i="1"/>
  <c r="E1071" i="1"/>
  <c r="D1071" i="1" s="1"/>
  <c r="B1071" i="1"/>
  <c r="O1669" i="1"/>
  <c r="S1668" i="1"/>
  <c r="Q1668" i="1"/>
  <c r="M1668" i="1"/>
  <c r="E1668" i="1"/>
  <c r="D1668" i="1" s="1"/>
  <c r="B1668" i="1"/>
  <c r="Q1377" i="1"/>
  <c r="O1377" i="1"/>
  <c r="E1377" i="1"/>
  <c r="D1377" i="1" s="1"/>
  <c r="B1377" i="1"/>
  <c r="O1361" i="1"/>
  <c r="S1362" i="1"/>
  <c r="S1360" i="1" s="1"/>
  <c r="Q1362" i="1"/>
  <c r="O1362" i="1"/>
  <c r="J1362" i="1"/>
  <c r="J1360" i="1" s="1"/>
  <c r="H1362" i="1"/>
  <c r="H1360" i="1" s="1"/>
  <c r="F1362" i="1"/>
  <c r="F1360" i="1" s="1"/>
  <c r="B1362" i="1"/>
  <c r="O1293" i="1"/>
  <c r="S1293" i="1"/>
  <c r="Q1293" i="1"/>
  <c r="E1293" i="1"/>
  <c r="B1293" i="1"/>
  <c r="O242" i="1"/>
  <c r="J242" i="1"/>
  <c r="H242" i="1"/>
  <c r="F242" i="1"/>
  <c r="G242" i="1"/>
  <c r="S242" i="1"/>
  <c r="Q242" i="1"/>
  <c r="B242" i="1"/>
  <c r="D1293" i="1" l="1"/>
  <c r="O1360" i="1"/>
  <c r="E1362" i="1"/>
  <c r="D1362" i="1" s="1"/>
  <c r="E242" i="1"/>
  <c r="D242" i="1" s="1"/>
  <c r="O621" i="1"/>
  <c r="O594" i="1"/>
  <c r="O588" i="1"/>
  <c r="O585" i="1"/>
  <c r="O576" i="1"/>
  <c r="O572" i="1"/>
  <c r="O570" i="1"/>
  <c r="O569" i="1"/>
  <c r="O568" i="1"/>
  <c r="O544" i="1"/>
  <c r="O531" i="1"/>
  <c r="O482" i="1"/>
  <c r="O475" i="1"/>
  <c r="O449" i="1"/>
  <c r="O448" i="1"/>
  <c r="O473" i="1"/>
  <c r="O472" i="1"/>
  <c r="O436" i="1"/>
  <c r="O424" i="1"/>
  <c r="O417" i="1"/>
  <c r="O365" i="1"/>
  <c r="O364" i="1"/>
  <c r="O357" i="1"/>
  <c r="O356" i="1"/>
  <c r="O340" i="1"/>
  <c r="O337" i="1"/>
  <c r="O338" i="1"/>
  <c r="O336" i="1"/>
  <c r="O332" i="1"/>
  <c r="O327" i="1"/>
  <c r="O318" i="1"/>
  <c r="O316" i="1"/>
  <c r="O309" i="1"/>
  <c r="O308" i="1"/>
  <c r="O305" i="1"/>
  <c r="O285" i="1"/>
  <c r="O278" i="1"/>
  <c r="S258" i="1"/>
  <c r="O258" i="1"/>
  <c r="S253" i="1"/>
  <c r="O251" i="1"/>
  <c r="O252" i="1"/>
  <c r="O253" i="1"/>
  <c r="O250" i="1"/>
  <c r="S249" i="1"/>
  <c r="S250" i="1"/>
  <c r="S251" i="1"/>
  <c r="S248" i="1"/>
  <c r="O248" i="1"/>
  <c r="O245" i="1"/>
  <c r="O244" i="1"/>
  <c r="O237" i="1"/>
  <c r="S235" i="1"/>
  <c r="Q235" i="1"/>
  <c r="Q232" i="1"/>
  <c r="O231" i="1"/>
  <c r="O230" i="1"/>
  <c r="S228" i="1"/>
  <c r="S229" i="1"/>
  <c r="S230" i="1"/>
  <c r="S231" i="1"/>
  <c r="S232" i="1"/>
  <c r="S227" i="1"/>
  <c r="O229" i="1"/>
  <c r="O214" i="1"/>
  <c r="O212" i="1"/>
  <c r="O210" i="1"/>
  <c r="O207" i="1"/>
  <c r="O201" i="1"/>
  <c r="O200" i="1"/>
  <c r="O197" i="1"/>
  <c r="O191" i="1"/>
  <c r="O196" i="1"/>
  <c r="O184" i="1"/>
  <c r="O171" i="1"/>
  <c r="O170" i="1"/>
  <c r="O162" i="1"/>
  <c r="O158" i="1"/>
  <c r="O157" i="1"/>
  <c r="O142" i="1"/>
  <c r="O123" i="1"/>
  <c r="O115" i="1"/>
  <c r="J2689" i="1" l="1"/>
  <c r="J2687" i="1" s="1"/>
  <c r="J2679" i="1"/>
  <c r="J2656" i="1"/>
  <c r="J2655" i="1"/>
  <c r="J2648" i="1"/>
  <c r="J2647" i="1"/>
  <c r="J2644" i="1"/>
  <c r="J2643" i="1"/>
  <c r="J2642" i="1"/>
  <c r="J2393" i="1"/>
  <c r="J2391" i="1"/>
  <c r="J2367" i="1"/>
  <c r="J2359" i="1"/>
  <c r="J2358" i="1"/>
  <c r="J2352" i="1"/>
  <c r="J2350" i="1"/>
  <c r="J2342" i="1"/>
  <c r="J2334" i="1"/>
  <c r="J2309" i="1"/>
  <c r="J2308" i="1"/>
  <c r="J2307" i="1"/>
  <c r="J2302" i="1"/>
  <c r="J2290" i="1"/>
  <c r="J2286" i="1"/>
  <c r="J2267" i="1"/>
  <c r="J2263" i="1"/>
  <c r="J2262" i="1"/>
  <c r="J2256" i="1"/>
  <c r="J2255" i="1"/>
  <c r="J2251" i="1"/>
  <c r="J2236" i="1"/>
  <c r="J2225" i="1"/>
  <c r="J2177" i="1"/>
  <c r="J2170" i="1"/>
  <c r="J2145" i="1"/>
  <c r="J2117" i="1"/>
  <c r="J2116" i="1"/>
  <c r="J2112" i="1"/>
  <c r="J2109" i="1"/>
  <c r="J2108" i="1"/>
  <c r="J2107" i="1"/>
  <c r="J2063" i="1"/>
  <c r="J2047" i="1"/>
  <c r="J2046" i="1"/>
  <c r="J2039" i="1"/>
  <c r="J2037" i="1"/>
  <c r="J2032" i="1"/>
  <c r="J2021" i="1"/>
  <c r="J2015" i="1"/>
  <c r="J2013" i="1"/>
  <c r="J2009" i="1"/>
  <c r="J2004" i="1"/>
  <c r="J2001" i="1"/>
  <c r="J1987" i="1"/>
  <c r="J1979" i="1"/>
  <c r="J1973" i="1"/>
  <c r="J1969" i="1"/>
  <c r="J1961" i="1"/>
  <c r="J1958" i="1"/>
  <c r="J1957" i="1"/>
  <c r="J1956" i="1"/>
  <c r="J1955" i="1"/>
  <c r="J1952" i="1"/>
  <c r="J1948" i="1"/>
  <c r="J1942" i="1"/>
  <c r="J1941" i="1"/>
  <c r="J1933" i="1"/>
  <c r="J1932" i="1"/>
  <c r="J1928" i="1"/>
  <c r="J1926" i="1"/>
  <c r="J1920" i="1"/>
  <c r="J1919" i="1"/>
  <c r="J1915" i="1"/>
  <c r="J1504" i="1"/>
  <c r="J1503" i="1"/>
  <c r="J1502" i="1"/>
  <c r="J1501" i="1"/>
  <c r="J1497" i="1"/>
  <c r="J1496" i="1"/>
  <c r="J1495" i="1"/>
  <c r="J1171" i="1"/>
  <c r="J1167" i="1"/>
  <c r="J1166" i="1"/>
  <c r="J1153" i="1"/>
  <c r="J1151" i="1"/>
  <c r="J1116" i="1"/>
  <c r="J1076" i="1"/>
  <c r="J1061" i="1"/>
  <c r="J1023" i="1"/>
  <c r="J865" i="1"/>
  <c r="J833" i="1"/>
  <c r="J762" i="1"/>
  <c r="J754" i="1"/>
  <c r="J752" i="1"/>
  <c r="J750" i="1"/>
  <c r="J688" i="1"/>
  <c r="J602" i="1"/>
  <c r="J449" i="1"/>
  <c r="J448" i="1"/>
  <c r="J447" i="1"/>
  <c r="J436" i="1"/>
  <c r="J417" i="1"/>
  <c r="J318" i="1"/>
  <c r="J316" i="1"/>
  <c r="J309" i="1"/>
  <c r="J308" i="1"/>
  <c r="J305" i="1"/>
  <c r="J251" i="1"/>
  <c r="J250" i="1"/>
  <c r="J245" i="1"/>
  <c r="J244" i="1"/>
  <c r="J239" i="1"/>
  <c r="J237" i="1"/>
  <c r="J236" i="1"/>
  <c r="J227" i="1"/>
  <c r="J226" i="1"/>
  <c r="J225" i="1"/>
  <c r="J219" i="1"/>
  <c r="J208" i="1"/>
  <c r="J207" i="1"/>
  <c r="J205" i="1"/>
  <c r="J193" i="1"/>
  <c r="J171" i="1"/>
  <c r="J125" i="1"/>
  <c r="J118" i="1"/>
  <c r="J116" i="1"/>
  <c r="J115" i="1"/>
  <c r="I115" i="1"/>
  <c r="I2648" i="1"/>
  <c r="I2647" i="1"/>
  <c r="I2644" i="1"/>
  <c r="I2643" i="1"/>
  <c r="I2642" i="1"/>
  <c r="I2393" i="1"/>
  <c r="I2391" i="1"/>
  <c r="I2367" i="1"/>
  <c r="I2352" i="1"/>
  <c r="I2350" i="1"/>
  <c r="I2286" i="1"/>
  <c r="I2285" i="1" s="1"/>
  <c r="I2267" i="1"/>
  <c r="I2170" i="1"/>
  <c r="I2169" i="1" s="1"/>
  <c r="I2109" i="1"/>
  <c r="I2108" i="1"/>
  <c r="I2107" i="1"/>
  <c r="I2015" i="1"/>
  <c r="I2013" i="1"/>
  <c r="I2009" i="1"/>
  <c r="I2004" i="1"/>
  <c r="I1969" i="1"/>
  <c r="I1961" i="1"/>
  <c r="I1948" i="1"/>
  <c r="I1933" i="1"/>
  <c r="I1932" i="1"/>
  <c r="I1926" i="1"/>
  <c r="I1504" i="1"/>
  <c r="I1503" i="1"/>
  <c r="I1502" i="1"/>
  <c r="I1501" i="1"/>
  <c r="I1151" i="1"/>
  <c r="I1116" i="1"/>
  <c r="I865" i="1"/>
  <c r="I754" i="1"/>
  <c r="I752" i="1"/>
  <c r="I750" i="1"/>
  <c r="I688" i="1"/>
  <c r="I602" i="1"/>
  <c r="I449" i="1"/>
  <c r="I448" i="1"/>
  <c r="I447" i="1"/>
  <c r="I436" i="1"/>
  <c r="I417" i="1"/>
  <c r="I236" i="1"/>
  <c r="I226" i="1"/>
  <c r="I225" i="1"/>
  <c r="I193" i="1"/>
  <c r="I118" i="1"/>
  <c r="I116" i="1"/>
  <c r="H2689" i="1"/>
  <c r="H2687" i="1" s="1"/>
  <c r="H2679" i="1"/>
  <c r="H2656" i="1"/>
  <c r="H2655" i="1"/>
  <c r="H2648" i="1"/>
  <c r="H2647" i="1"/>
  <c r="H2644" i="1"/>
  <c r="H2643" i="1"/>
  <c r="H2642" i="1"/>
  <c r="J2624" i="1"/>
  <c r="J2623" i="1"/>
  <c r="J2622" i="1"/>
  <c r="J2621" i="1"/>
  <c r="H2624" i="1"/>
  <c r="H2623" i="1"/>
  <c r="H2622" i="1"/>
  <c r="H2621" i="1"/>
  <c r="H2583" i="1"/>
  <c r="J2507" i="1"/>
  <c r="J2505" i="1"/>
  <c r="H2507" i="1"/>
  <c r="H2505" i="1"/>
  <c r="J2469" i="1"/>
  <c r="J2468" i="1"/>
  <c r="I2469" i="1"/>
  <c r="I2468" i="1"/>
  <c r="H2469" i="1"/>
  <c r="H2468" i="1"/>
  <c r="H2407" i="1"/>
  <c r="H2393" i="1"/>
  <c r="H2391" i="1"/>
  <c r="H2367" i="1"/>
  <c r="H2359" i="1"/>
  <c r="H2358" i="1"/>
  <c r="H2352" i="1"/>
  <c r="H2350" i="1"/>
  <c r="H2334" i="1"/>
  <c r="H2309" i="1"/>
  <c r="H2308" i="1"/>
  <c r="H2307" i="1"/>
  <c r="H2302" i="1"/>
  <c r="H2290" i="1"/>
  <c r="H2286" i="1"/>
  <c r="H2267" i="1"/>
  <c r="H2263" i="1"/>
  <c r="H2262" i="1"/>
  <c r="H2256" i="1"/>
  <c r="H2255" i="1"/>
  <c r="H2251" i="1"/>
  <c r="H2236" i="1"/>
  <c r="H2225" i="1"/>
  <c r="H2177" i="1"/>
  <c r="H2170" i="1"/>
  <c r="H2145" i="1"/>
  <c r="H2117" i="1"/>
  <c r="H2116" i="1"/>
  <c r="H2112" i="1"/>
  <c r="H2109" i="1"/>
  <c r="H2108" i="1"/>
  <c r="H2107" i="1"/>
  <c r="H2063" i="1"/>
  <c r="H2047" i="1"/>
  <c r="H2046" i="1"/>
  <c r="H2039" i="1"/>
  <c r="H2037" i="1"/>
  <c r="H2032" i="1"/>
  <c r="H2021" i="1"/>
  <c r="H2015" i="1"/>
  <c r="H2013" i="1"/>
  <c r="H2009" i="1"/>
  <c r="H2004" i="1"/>
  <c r="H2001" i="1"/>
  <c r="H1987" i="1"/>
  <c r="H1979" i="1"/>
  <c r="H1973" i="1"/>
  <c r="H1969" i="1"/>
  <c r="H1961" i="1"/>
  <c r="H1958" i="1"/>
  <c r="H1957" i="1"/>
  <c r="H1956" i="1"/>
  <c r="H1955" i="1"/>
  <c r="H1952" i="1"/>
  <c r="H1948" i="1"/>
  <c r="H1942" i="1"/>
  <c r="H1941" i="1"/>
  <c r="H1933" i="1"/>
  <c r="H1932" i="1"/>
  <c r="H1928" i="1"/>
  <c r="H1926" i="1"/>
  <c r="H1920" i="1"/>
  <c r="H1919" i="1"/>
  <c r="H1915" i="1"/>
  <c r="H1504" i="1"/>
  <c r="H1503" i="1"/>
  <c r="H1502" i="1"/>
  <c r="H1501" i="1"/>
  <c r="H1497" i="1"/>
  <c r="H1496" i="1"/>
  <c r="H1495" i="1"/>
  <c r="H1171" i="1"/>
  <c r="H1167" i="1"/>
  <c r="H1166" i="1"/>
  <c r="H1156" i="1"/>
  <c r="H1153" i="1"/>
  <c r="H1151" i="1"/>
  <c r="H1116" i="1"/>
  <c r="H1076" i="1"/>
  <c r="H1061" i="1"/>
  <c r="H1023" i="1"/>
  <c r="H865" i="1"/>
  <c r="H762" i="1"/>
  <c r="H754" i="1"/>
  <c r="H752" i="1"/>
  <c r="H750" i="1"/>
  <c r="H688" i="1"/>
  <c r="H602" i="1"/>
  <c r="H449" i="1"/>
  <c r="H448" i="1"/>
  <c r="H447" i="1"/>
  <c r="H436" i="1"/>
  <c r="H417" i="1"/>
  <c r="H318" i="1"/>
  <c r="H316" i="1"/>
  <c r="H309" i="1"/>
  <c r="H308" i="1"/>
  <c r="H305" i="1"/>
  <c r="H251" i="1"/>
  <c r="H250" i="1"/>
  <c r="H245" i="1"/>
  <c r="H244" i="1"/>
  <c r="H239" i="1"/>
  <c r="H237" i="1"/>
  <c r="H236" i="1"/>
  <c r="H227" i="1"/>
  <c r="H226" i="1"/>
  <c r="H225" i="1"/>
  <c r="H219" i="1"/>
  <c r="H208" i="1"/>
  <c r="H207" i="1"/>
  <c r="H205" i="1"/>
  <c r="H193" i="1"/>
  <c r="H171" i="1"/>
  <c r="H125" i="1"/>
  <c r="H118" i="1"/>
  <c r="H116" i="1"/>
  <c r="H115" i="1"/>
  <c r="G2693" i="1"/>
  <c r="G2692" i="1"/>
  <c r="G2679" i="1"/>
  <c r="G2668" i="1" s="1"/>
  <c r="G2661" i="1"/>
  <c r="G2656" i="1"/>
  <c r="G2655" i="1"/>
  <c r="G2648" i="1"/>
  <c r="G2647" i="1"/>
  <c r="G2644" i="1"/>
  <c r="G2643" i="1"/>
  <c r="G2642" i="1"/>
  <c r="G2629" i="1"/>
  <c r="G2628" i="1"/>
  <c r="G2627" i="1"/>
  <c r="G2626" i="1"/>
  <c r="G2625" i="1"/>
  <c r="G2507" i="1"/>
  <c r="G2469" i="1"/>
  <c r="G2468" i="1"/>
  <c r="G2393" i="1"/>
  <c r="G2391" i="1"/>
  <c r="G2367" i="1"/>
  <c r="G2359" i="1"/>
  <c r="G2358" i="1"/>
  <c r="G2352" i="1"/>
  <c r="G2350" i="1"/>
  <c r="G2334" i="1"/>
  <c r="G2309" i="1"/>
  <c r="G2308" i="1"/>
  <c r="G2307" i="1"/>
  <c r="G2302" i="1"/>
  <c r="G2286" i="1"/>
  <c r="G2267" i="1"/>
  <c r="G2262" i="1"/>
  <c r="G2256" i="1"/>
  <c r="G2255" i="1"/>
  <c r="G2251" i="1"/>
  <c r="G2236" i="1"/>
  <c r="G2170" i="1"/>
  <c r="G2145" i="1"/>
  <c r="G2117" i="1"/>
  <c r="G2116" i="1"/>
  <c r="G2109" i="1"/>
  <c r="G2108" i="1"/>
  <c r="G2107" i="1"/>
  <c r="G2021" i="1"/>
  <c r="G2015" i="1"/>
  <c r="G2013" i="1"/>
  <c r="G2009" i="1"/>
  <c r="G2004" i="1"/>
  <c r="G2001" i="1"/>
  <c r="G1987" i="1"/>
  <c r="G1976" i="1"/>
  <c r="G1969" i="1"/>
  <c r="G1961" i="1"/>
  <c r="G1952" i="1"/>
  <c r="G1948" i="1"/>
  <c r="G1942" i="1"/>
  <c r="G1941" i="1"/>
  <c r="G1933" i="1"/>
  <c r="G1932" i="1"/>
  <c r="G1928" i="1"/>
  <c r="G1926" i="1"/>
  <c r="G1920" i="1"/>
  <c r="G1919" i="1"/>
  <c r="G1915" i="1"/>
  <c r="G1504" i="1"/>
  <c r="G1503" i="1"/>
  <c r="G1502" i="1"/>
  <c r="G1501" i="1"/>
  <c r="G1497" i="1"/>
  <c r="G1496" i="1"/>
  <c r="G1495" i="1"/>
  <c r="G1171" i="1"/>
  <c r="G1167" i="1"/>
  <c r="G1166" i="1"/>
  <c r="G1156" i="1"/>
  <c r="G1153" i="1"/>
  <c r="G1151" i="1"/>
  <c r="G1116" i="1"/>
  <c r="G1061" i="1"/>
  <c r="G1060" i="1" s="1"/>
  <c r="G1044" i="1"/>
  <c r="G1043" i="1"/>
  <c r="G1040" i="1"/>
  <c r="G1038" i="1"/>
  <c r="G1023" i="1"/>
  <c r="G865" i="1"/>
  <c r="G762" i="1"/>
  <c r="G754" i="1"/>
  <c r="G752" i="1"/>
  <c r="G750" i="1"/>
  <c r="G688" i="1"/>
  <c r="G602" i="1"/>
  <c r="G449" i="1"/>
  <c r="G448" i="1"/>
  <c r="G447" i="1"/>
  <c r="G436" i="1"/>
  <c r="G417" i="1"/>
  <c r="G364" i="1"/>
  <c r="G363" i="1"/>
  <c r="G318" i="1"/>
  <c r="G316" i="1"/>
  <c r="G309" i="1"/>
  <c r="G308" i="1"/>
  <c r="G305" i="1"/>
  <c r="G253" i="1"/>
  <c r="G251" i="1"/>
  <c r="G250" i="1"/>
  <c r="G245" i="1"/>
  <c r="G244" i="1"/>
  <c r="G239" i="1"/>
  <c r="G237" i="1"/>
  <c r="G236" i="1"/>
  <c r="G232" i="1"/>
  <c r="G227" i="1"/>
  <c r="G226" i="1"/>
  <c r="G225" i="1"/>
  <c r="F227" i="1"/>
  <c r="F226" i="1"/>
  <c r="F225" i="1"/>
  <c r="G219" i="1"/>
  <c r="G208" i="1"/>
  <c r="F208" i="1"/>
  <c r="F193" i="1"/>
  <c r="G193" i="1"/>
  <c r="G125" i="1"/>
  <c r="G118" i="1"/>
  <c r="G116" i="1"/>
  <c r="G115" i="1"/>
  <c r="F115" i="1"/>
  <c r="F2693" i="1"/>
  <c r="F2692" i="1"/>
  <c r="F2689" i="1"/>
  <c r="F2687" i="1" s="1"/>
  <c r="F2682" i="1"/>
  <c r="F2681" i="1"/>
  <c r="F2679" i="1"/>
  <c r="F2675" i="1"/>
  <c r="F2674" i="1"/>
  <c r="F2673" i="1"/>
  <c r="F2671" i="1"/>
  <c r="F2661" i="1"/>
  <c r="F2656" i="1"/>
  <c r="F2655" i="1"/>
  <c r="F2648" i="1"/>
  <c r="F2647" i="1"/>
  <c r="F2644" i="1"/>
  <c r="F2643" i="1"/>
  <c r="F2642" i="1"/>
  <c r="F2629" i="1"/>
  <c r="F2628" i="1"/>
  <c r="F2627" i="1"/>
  <c r="F2626" i="1"/>
  <c r="F2625" i="1"/>
  <c r="F2624" i="1"/>
  <c r="F2623" i="1"/>
  <c r="F2622" i="1"/>
  <c r="F2621" i="1"/>
  <c r="F2558" i="1"/>
  <c r="F2507" i="1"/>
  <c r="F2505" i="1"/>
  <c r="F2469" i="1"/>
  <c r="F2468" i="1"/>
  <c r="F2393" i="1"/>
  <c r="F2391" i="1"/>
  <c r="F2367" i="1"/>
  <c r="F2362" i="1"/>
  <c r="F2361" i="1"/>
  <c r="F2359" i="1"/>
  <c r="F2358" i="1"/>
  <c r="F2352" i="1"/>
  <c r="F2350" i="1"/>
  <c r="F2334" i="1"/>
  <c r="F2328" i="1"/>
  <c r="F2309" i="1"/>
  <c r="F2308" i="1"/>
  <c r="F2307" i="1"/>
  <c r="F2302" i="1"/>
  <c r="F2290" i="1"/>
  <c r="F2287" i="1"/>
  <c r="F2286" i="1"/>
  <c r="F2280" i="1"/>
  <c r="F2267" i="1"/>
  <c r="F2262" i="1"/>
  <c r="F2256" i="1"/>
  <c r="F2255" i="1"/>
  <c r="F2251" i="1"/>
  <c r="F2236" i="1"/>
  <c r="F2225" i="1"/>
  <c r="F2191" i="1"/>
  <c r="F2177" i="1"/>
  <c r="F2175" i="1"/>
  <c r="F2174" i="1"/>
  <c r="F2173" i="1"/>
  <c r="F2172" i="1"/>
  <c r="F2170" i="1"/>
  <c r="F2117" i="1"/>
  <c r="F2116" i="1"/>
  <c r="F2109" i="1"/>
  <c r="F2108" i="1"/>
  <c r="F2107" i="1"/>
  <c r="F2063" i="1"/>
  <c r="F2062" i="1"/>
  <c r="F2047" i="1"/>
  <c r="F2046" i="1"/>
  <c r="F2039" i="1"/>
  <c r="F2037" i="1"/>
  <c r="F2032" i="1"/>
  <c r="F2021" i="1"/>
  <c r="F2017" i="1"/>
  <c r="F2015" i="1"/>
  <c r="F2013" i="1"/>
  <c r="F2009" i="1"/>
  <c r="F2004" i="1"/>
  <c r="F2001" i="1"/>
  <c r="F2000" i="1"/>
  <c r="F1999" i="1"/>
  <c r="F1993" i="1"/>
  <c r="F1992" i="1"/>
  <c r="F1987" i="1"/>
  <c r="F1981" i="1"/>
  <c r="F1980" i="1"/>
  <c r="F1979" i="1"/>
  <c r="F1976" i="1"/>
  <c r="F1969" i="1"/>
  <c r="F1961" i="1"/>
  <c r="F1958" i="1"/>
  <c r="F1957" i="1"/>
  <c r="F1956" i="1"/>
  <c r="F1955" i="1"/>
  <c r="F1952" i="1"/>
  <c r="F1948" i="1"/>
  <c r="F1942" i="1"/>
  <c r="F1941" i="1"/>
  <c r="F1933" i="1"/>
  <c r="F1932" i="1"/>
  <c r="F1928" i="1"/>
  <c r="F1926" i="1"/>
  <c r="F1920" i="1"/>
  <c r="F1919" i="1"/>
  <c r="F1915" i="1"/>
  <c r="F1504" i="1"/>
  <c r="F1503" i="1"/>
  <c r="F1502" i="1"/>
  <c r="F1501" i="1"/>
  <c r="F1497" i="1"/>
  <c r="F1496" i="1"/>
  <c r="F1495" i="1"/>
  <c r="F1174" i="1"/>
  <c r="F1171" i="1"/>
  <c r="F1167" i="1"/>
  <c r="F1166" i="1"/>
  <c r="F1153" i="1"/>
  <c r="F1151" i="1"/>
  <c r="F1116" i="1"/>
  <c r="F1076" i="1"/>
  <c r="F1061" i="1"/>
  <c r="F1044" i="1"/>
  <c r="F1043" i="1"/>
  <c r="F1040" i="1"/>
  <c r="F1038" i="1"/>
  <c r="F1023" i="1"/>
  <c r="F865" i="1"/>
  <c r="F762" i="1"/>
  <c r="F754" i="1"/>
  <c r="F752" i="1"/>
  <c r="F750" i="1"/>
  <c r="F688" i="1"/>
  <c r="F449" i="1"/>
  <c r="F448" i="1"/>
  <c r="F447" i="1"/>
  <c r="F436" i="1"/>
  <c r="F417" i="1"/>
  <c r="F364" i="1"/>
  <c r="F363" i="1"/>
  <c r="F357" i="1"/>
  <c r="F344" i="1"/>
  <c r="F343" i="1"/>
  <c r="F318" i="1"/>
  <c r="F316" i="1"/>
  <c r="F309" i="1"/>
  <c r="F308" i="1"/>
  <c r="F305" i="1"/>
  <c r="F258" i="1"/>
  <c r="F253" i="1"/>
  <c r="F251" i="1"/>
  <c r="F250" i="1"/>
  <c r="F249" i="1"/>
  <c r="F248" i="1"/>
  <c r="F245" i="1"/>
  <c r="F244" i="1"/>
  <c r="F239" i="1"/>
  <c r="F237" i="1"/>
  <c r="F232" i="1"/>
  <c r="F231" i="1"/>
  <c r="F230" i="1"/>
  <c r="F229" i="1"/>
  <c r="F228" i="1"/>
  <c r="F219" i="1"/>
  <c r="F218" i="1"/>
  <c r="F215" i="1"/>
  <c r="F207" i="1"/>
  <c r="F205" i="1"/>
  <c r="F201" i="1"/>
  <c r="F200" i="1"/>
  <c r="F197" i="1"/>
  <c r="F196" i="1"/>
  <c r="F191" i="1"/>
  <c r="F178" i="1"/>
  <c r="F171" i="1"/>
  <c r="F170" i="1"/>
  <c r="F155" i="1"/>
  <c r="F154" i="1"/>
  <c r="F144" i="1"/>
  <c r="F125" i="1"/>
  <c r="F118" i="1"/>
  <c r="F116" i="1"/>
  <c r="F153" i="1" l="1"/>
  <c r="J114" i="1"/>
  <c r="I114" i="1"/>
  <c r="H114" i="1"/>
  <c r="G114" i="1"/>
  <c r="F114" i="1"/>
  <c r="F169" i="1" l="1"/>
  <c r="F168" i="1"/>
  <c r="S2386" i="1" l="1"/>
  <c r="Q2386" i="1"/>
  <c r="M2386" i="1"/>
  <c r="E2386" i="1"/>
  <c r="D2386" i="1" s="1"/>
  <c r="B2386" i="1"/>
  <c r="S1722" i="1"/>
  <c r="Q1722" i="1"/>
  <c r="M1722" i="1"/>
  <c r="E1722" i="1"/>
  <c r="D1722" i="1" s="1"/>
  <c r="B1722" i="1"/>
  <c r="S779" i="1" l="1"/>
  <c r="Q779" i="1"/>
  <c r="M779" i="1"/>
  <c r="E779" i="1"/>
  <c r="D779" i="1" s="1"/>
  <c r="B779" i="1"/>
  <c r="S1882" i="1" l="1"/>
  <c r="Q1882" i="1"/>
  <c r="M1882" i="1"/>
  <c r="E1882" i="1"/>
  <c r="D1882" i="1" s="1"/>
  <c r="B1882" i="1"/>
  <c r="S1139" i="1"/>
  <c r="Q1139" i="1"/>
  <c r="M1139" i="1"/>
  <c r="E1139" i="1"/>
  <c r="D1139" i="1" s="1"/>
  <c r="B1139" i="1"/>
  <c r="S776" i="1" l="1"/>
  <c r="Q776" i="1"/>
  <c r="M776" i="1"/>
  <c r="E776" i="1"/>
  <c r="D776" i="1" s="1"/>
  <c r="B776" i="1"/>
  <c r="F103" i="1" l="1"/>
  <c r="O99" i="1"/>
  <c r="O86" i="1"/>
  <c r="J82" i="1"/>
  <c r="I82" i="1"/>
  <c r="H82" i="1"/>
  <c r="G82" i="1"/>
  <c r="F82" i="1"/>
  <c r="J83" i="1"/>
  <c r="I83" i="1"/>
  <c r="H83" i="1"/>
  <c r="G83" i="1"/>
  <c r="F83" i="1"/>
  <c r="O80" i="1"/>
  <c r="O78" i="1"/>
  <c r="S71" i="1"/>
  <c r="F71" i="1"/>
  <c r="F58" i="1" s="1"/>
  <c r="O70" i="1"/>
  <c r="O65" i="1"/>
  <c r="O64" i="1"/>
  <c r="O53" i="1"/>
  <c r="O52" i="1"/>
  <c r="O39" i="1"/>
  <c r="O28" i="1"/>
  <c r="O27" i="1"/>
  <c r="O815" i="1"/>
  <c r="G81" i="1" l="1"/>
  <c r="F81" i="1"/>
  <c r="H81" i="1"/>
  <c r="I81" i="1"/>
  <c r="J81" i="1"/>
  <c r="M83" i="1"/>
  <c r="M81" i="1" s="1"/>
  <c r="S290" i="1"/>
  <c r="Q290" i="1"/>
  <c r="O290" i="1"/>
  <c r="M290" i="1"/>
  <c r="E290" i="1"/>
  <c r="D290" i="1" s="1"/>
  <c r="B290" i="1"/>
  <c r="S1713" i="1"/>
  <c r="Q1713" i="1"/>
  <c r="M1713" i="1"/>
  <c r="E1713" i="1"/>
  <c r="B1713" i="1"/>
  <c r="M223" i="1"/>
  <c r="E223" i="1"/>
  <c r="D223" i="1" s="1"/>
  <c r="B223" i="1"/>
  <c r="G1765" i="1"/>
  <c r="D1713" i="1" l="1"/>
  <c r="J815" i="1"/>
  <c r="I815" i="1"/>
  <c r="H815" i="1"/>
  <c r="G815" i="1"/>
  <c r="F815" i="1"/>
  <c r="S814" i="1"/>
  <c r="Q814" i="1"/>
  <c r="M814" i="1"/>
  <c r="J814" i="1"/>
  <c r="I814" i="1"/>
  <c r="H814" i="1"/>
  <c r="G814" i="1"/>
  <c r="F814" i="1"/>
  <c r="B814" i="1"/>
  <c r="J1089" i="1"/>
  <c r="I1089" i="1"/>
  <c r="H1089" i="1"/>
  <c r="G1089" i="1"/>
  <c r="F1089" i="1"/>
  <c r="S1089" i="1"/>
  <c r="Q1089" i="1"/>
  <c r="O1089" i="1"/>
  <c r="B1089" i="1"/>
  <c r="S1091" i="1"/>
  <c r="Q1091" i="1"/>
  <c r="O1091" i="1"/>
  <c r="E1091" i="1"/>
  <c r="D1091" i="1" s="1"/>
  <c r="B1091" i="1"/>
  <c r="S1134" i="1"/>
  <c r="Q1134" i="1"/>
  <c r="M1134" i="1"/>
  <c r="E1134" i="1"/>
  <c r="B1134" i="1"/>
  <c r="J1925" i="1"/>
  <c r="I1925" i="1"/>
  <c r="H1925" i="1"/>
  <c r="G1925" i="1"/>
  <c r="F1925" i="1"/>
  <c r="S2625" i="1"/>
  <c r="Q2625" i="1"/>
  <c r="E2625" i="1"/>
  <c r="B2625" i="1"/>
  <c r="S1183" i="1"/>
  <c r="Q1183" i="1"/>
  <c r="E1183" i="1"/>
  <c r="B1183" i="1"/>
  <c r="S1172" i="1"/>
  <c r="Q1172" i="1"/>
  <c r="E1172" i="1"/>
  <c r="B1172" i="1"/>
  <c r="S1174" i="1"/>
  <c r="Q1174" i="1"/>
  <c r="E1174" i="1"/>
  <c r="D1174" i="1" s="1"/>
  <c r="B1174" i="1"/>
  <c r="S1171" i="1"/>
  <c r="Q1171" i="1"/>
  <c r="M1171" i="1"/>
  <c r="E1171" i="1"/>
  <c r="B1171" i="1"/>
  <c r="S1170" i="1"/>
  <c r="Q1170" i="1"/>
  <c r="E1170" i="1"/>
  <c r="B1170" i="1"/>
  <c r="S2745" i="1"/>
  <c r="Q2745" i="1"/>
  <c r="E2745" i="1"/>
  <c r="B2745" i="1"/>
  <c r="S2737" i="1"/>
  <c r="Q2737" i="1"/>
  <c r="E2737" i="1"/>
  <c r="B2737" i="1"/>
  <c r="S2738" i="1"/>
  <c r="Q2738" i="1"/>
  <c r="E2738" i="1"/>
  <c r="D2738" i="1" s="1"/>
  <c r="B2738" i="1"/>
  <c r="S1166" i="1"/>
  <c r="Q1166" i="1"/>
  <c r="M1166" i="1"/>
  <c r="E1166" i="1"/>
  <c r="B1166" i="1"/>
  <c r="S1167" i="1"/>
  <c r="Q1167" i="1"/>
  <c r="M1167" i="1"/>
  <c r="E1167" i="1"/>
  <c r="B1167" i="1"/>
  <c r="D1172" i="1" l="1"/>
  <c r="D1166" i="1"/>
  <c r="D2737" i="1"/>
  <c r="D2745" i="1"/>
  <c r="D1170" i="1"/>
  <c r="D1171" i="1"/>
  <c r="D1183" i="1"/>
  <c r="D2625" i="1"/>
  <c r="D1167" i="1"/>
  <c r="D1134" i="1"/>
  <c r="E814" i="1"/>
  <c r="D814" i="1" s="1"/>
  <c r="E1089" i="1"/>
  <c r="D1089" i="1" s="1"/>
  <c r="S1160" i="1" l="1"/>
  <c r="Q1160" i="1"/>
  <c r="E1160" i="1"/>
  <c r="D1160" i="1" s="1"/>
  <c r="B1160" i="1"/>
  <c r="S1161" i="1"/>
  <c r="Q1161" i="1"/>
  <c r="E1161" i="1"/>
  <c r="D1161" i="1" s="1"/>
  <c r="B1161" i="1"/>
  <c r="S1156" i="1"/>
  <c r="Q1156" i="1"/>
  <c r="J1156" i="1"/>
  <c r="I1156" i="1"/>
  <c r="F1156" i="1"/>
  <c r="B1156" i="1"/>
  <c r="S1157" i="1"/>
  <c r="Q1157" i="1"/>
  <c r="E1157" i="1"/>
  <c r="B1157" i="1"/>
  <c r="S1153" i="1"/>
  <c r="Q1153" i="1"/>
  <c r="M1153" i="1"/>
  <c r="E1153" i="1"/>
  <c r="D1153" i="1" s="1"/>
  <c r="B1153" i="1"/>
  <c r="S2719" i="1"/>
  <c r="Q2719" i="1"/>
  <c r="E2719" i="1"/>
  <c r="B2719" i="1"/>
  <c r="S1154" i="1"/>
  <c r="Q1154" i="1"/>
  <c r="M1154" i="1"/>
  <c r="E1154" i="1"/>
  <c r="B1154" i="1"/>
  <c r="S1151" i="1"/>
  <c r="Q1151" i="1"/>
  <c r="M1151" i="1"/>
  <c r="E1151" i="1"/>
  <c r="B1151" i="1"/>
  <c r="D2719" i="1" l="1"/>
  <c r="D1151" i="1"/>
  <c r="D1154" i="1"/>
  <c r="D1157" i="1"/>
  <c r="E1156" i="1"/>
  <c r="D1156" i="1" s="1"/>
  <c r="S1732" i="1" l="1"/>
  <c r="Q1732" i="1"/>
  <c r="O1732" i="1"/>
  <c r="E1732" i="1"/>
  <c r="B1732" i="1"/>
  <c r="D1732" i="1" l="1"/>
  <c r="S1131" i="1"/>
  <c r="Q1131" i="1"/>
  <c r="M1131" i="1"/>
  <c r="E1131" i="1"/>
  <c r="D1131" i="1" s="1"/>
  <c r="B1131" i="1"/>
  <c r="S1124" i="1"/>
  <c r="Q1124" i="1"/>
  <c r="M1124" i="1"/>
  <c r="E1124" i="1"/>
  <c r="B1124" i="1"/>
  <c r="S1116" i="1"/>
  <c r="Q1116" i="1"/>
  <c r="M1116" i="1"/>
  <c r="E1116" i="1"/>
  <c r="B1116" i="1"/>
  <c r="S1076" i="1"/>
  <c r="Q1076" i="1"/>
  <c r="E1076" i="1"/>
  <c r="D1076" i="1" s="1"/>
  <c r="B1076" i="1"/>
  <c r="D1116" i="1" l="1"/>
  <c r="D1124" i="1"/>
  <c r="S1073" i="1"/>
  <c r="Q1073" i="1"/>
  <c r="O1073" i="1"/>
  <c r="E1073" i="1"/>
  <c r="B1073" i="1"/>
  <c r="S1061" i="1"/>
  <c r="Q1061" i="1"/>
  <c r="O1061" i="1"/>
  <c r="E1061" i="1"/>
  <c r="B1061" i="1"/>
  <c r="S2692" i="1"/>
  <c r="Q2692" i="1"/>
  <c r="E2692" i="1"/>
  <c r="B2692" i="1"/>
  <c r="S2693" i="1"/>
  <c r="Q2693" i="1"/>
  <c r="E2693" i="1"/>
  <c r="B2693" i="1"/>
  <c r="S2688" i="1"/>
  <c r="Q2688" i="1"/>
  <c r="E2688" i="1"/>
  <c r="D2688" i="1" s="1"/>
  <c r="B2688" i="1"/>
  <c r="S2689" i="1"/>
  <c r="Q2689" i="1"/>
  <c r="E2689" i="1"/>
  <c r="D2689" i="1" s="1"/>
  <c r="B2689" i="1"/>
  <c r="S2681" i="1"/>
  <c r="Q2681" i="1"/>
  <c r="O2681" i="1"/>
  <c r="E2681" i="1"/>
  <c r="B2681" i="1"/>
  <c r="S2682" i="1"/>
  <c r="Q2682" i="1"/>
  <c r="O2682" i="1"/>
  <c r="E2682" i="1"/>
  <c r="B2682" i="1"/>
  <c r="S2679" i="1"/>
  <c r="Q2679" i="1"/>
  <c r="O2679" i="1"/>
  <c r="E2679" i="1"/>
  <c r="B2679" i="1"/>
  <c r="S1047" i="1"/>
  <c r="Q1047" i="1"/>
  <c r="O1047" i="1"/>
  <c r="E1047" i="1"/>
  <c r="D1047" i="1" s="1"/>
  <c r="B1047" i="1"/>
  <c r="S1048" i="1"/>
  <c r="Q1048" i="1"/>
  <c r="O1048" i="1"/>
  <c r="E1048" i="1"/>
  <c r="B1048" i="1"/>
  <c r="S2672" i="1"/>
  <c r="Q2672" i="1"/>
  <c r="O2672" i="1"/>
  <c r="E2672" i="1"/>
  <c r="B2672" i="1"/>
  <c r="S2671" i="1"/>
  <c r="Q2671" i="1"/>
  <c r="O2671" i="1"/>
  <c r="E2671" i="1"/>
  <c r="B2671" i="1"/>
  <c r="S2673" i="1"/>
  <c r="Q2673" i="1"/>
  <c r="O2673" i="1"/>
  <c r="E2673" i="1"/>
  <c r="B2673" i="1"/>
  <c r="S2674" i="1"/>
  <c r="Q2674" i="1"/>
  <c r="O2674" i="1"/>
  <c r="E2674" i="1"/>
  <c r="B2674" i="1"/>
  <c r="S2675" i="1"/>
  <c r="Q2675" i="1"/>
  <c r="O2675" i="1"/>
  <c r="E2675" i="1"/>
  <c r="B2675" i="1"/>
  <c r="S1021" i="1"/>
  <c r="Q1021" i="1"/>
  <c r="E1021" i="1"/>
  <c r="B1021" i="1"/>
  <c r="S2666" i="1"/>
  <c r="Q2666" i="1"/>
  <c r="O2666" i="1"/>
  <c r="E2666" i="1"/>
  <c r="B2666" i="1"/>
  <c r="S2665" i="1"/>
  <c r="Q2665" i="1"/>
  <c r="O2665" i="1"/>
  <c r="E2665" i="1"/>
  <c r="B2665" i="1"/>
  <c r="S1043" i="1"/>
  <c r="Q1043" i="1"/>
  <c r="E1043" i="1"/>
  <c r="D1043" i="1" s="1"/>
  <c r="B1043" i="1"/>
  <c r="S1044" i="1"/>
  <c r="Q1044" i="1"/>
  <c r="E1044" i="1"/>
  <c r="D1044" i="1" s="1"/>
  <c r="B1044" i="1"/>
  <c r="S1039" i="1"/>
  <c r="Q1039" i="1"/>
  <c r="E1039" i="1"/>
  <c r="D1039" i="1" s="1"/>
  <c r="B1039" i="1"/>
  <c r="S2664" i="1"/>
  <c r="Q2664" i="1"/>
  <c r="O2664" i="1"/>
  <c r="E2664" i="1"/>
  <c r="B2664" i="1"/>
  <c r="S1038" i="1"/>
  <c r="Q1038" i="1"/>
  <c r="E1038" i="1"/>
  <c r="B1038" i="1"/>
  <c r="S1037" i="1"/>
  <c r="Q1037" i="1"/>
  <c r="E1037" i="1"/>
  <c r="B1037" i="1"/>
  <c r="S2663" i="1"/>
  <c r="Q2663" i="1"/>
  <c r="O2663" i="1"/>
  <c r="E2663" i="1"/>
  <c r="B2663" i="1"/>
  <c r="S2661" i="1"/>
  <c r="Q2661" i="1"/>
  <c r="O2661" i="1"/>
  <c r="E2661" i="1"/>
  <c r="B2661" i="1"/>
  <c r="S1036" i="1"/>
  <c r="Q1036" i="1"/>
  <c r="E1036" i="1"/>
  <c r="D1036" i="1" s="1"/>
  <c r="B1036" i="1"/>
  <c r="S1026" i="1"/>
  <c r="Q1026" i="1"/>
  <c r="E1026" i="1"/>
  <c r="B1026" i="1"/>
  <c r="S1027" i="1"/>
  <c r="Q1027" i="1"/>
  <c r="E1027" i="1"/>
  <c r="B1027" i="1"/>
  <c r="S2647" i="1"/>
  <c r="Q2647" i="1"/>
  <c r="E2647" i="1"/>
  <c r="D2647" i="1" s="1"/>
  <c r="B2647" i="1"/>
  <c r="S2648" i="1"/>
  <c r="Q2648" i="1"/>
  <c r="E2648" i="1"/>
  <c r="B2648" i="1"/>
  <c r="S2644" i="1"/>
  <c r="Q2644" i="1"/>
  <c r="E2644" i="1"/>
  <c r="B2644" i="1"/>
  <c r="S2642" i="1"/>
  <c r="Q2642" i="1"/>
  <c r="E2642" i="1"/>
  <c r="D2642" i="1" s="1"/>
  <c r="B2642" i="1"/>
  <c r="S2643" i="1"/>
  <c r="Q2643" i="1"/>
  <c r="E2643" i="1"/>
  <c r="B2643" i="1"/>
  <c r="S1040" i="1"/>
  <c r="Q1040" i="1"/>
  <c r="E1040" i="1"/>
  <c r="B1040" i="1"/>
  <c r="S1033" i="1"/>
  <c r="Q1033" i="1"/>
  <c r="O1033" i="1"/>
  <c r="E1033" i="1"/>
  <c r="D1033" i="1" s="1"/>
  <c r="B1033" i="1"/>
  <c r="S2657" i="1"/>
  <c r="Q2657" i="1"/>
  <c r="O2657" i="1"/>
  <c r="J2657" i="1"/>
  <c r="G2657" i="1"/>
  <c r="F2657" i="1"/>
  <c r="B2657" i="1"/>
  <c r="S1022" i="1"/>
  <c r="Q1022" i="1"/>
  <c r="E1022" i="1"/>
  <c r="D1022" i="1" s="1"/>
  <c r="B1022" i="1"/>
  <c r="S2656" i="1"/>
  <c r="Q2656" i="1"/>
  <c r="E2656" i="1"/>
  <c r="B2656" i="1"/>
  <c r="S2655" i="1"/>
  <c r="Q2655" i="1"/>
  <c r="E2655" i="1"/>
  <c r="B2655" i="1"/>
  <c r="S1029" i="1"/>
  <c r="Q1029" i="1"/>
  <c r="E1029" i="1"/>
  <c r="D1029" i="1" s="1"/>
  <c r="B1029" i="1"/>
  <c r="S1030" i="1"/>
  <c r="Q1030" i="1"/>
  <c r="E1030" i="1"/>
  <c r="B1030" i="1"/>
  <c r="S2627" i="1"/>
  <c r="Q2627" i="1"/>
  <c r="E2627" i="1"/>
  <c r="D2627" i="1" s="1"/>
  <c r="B2627" i="1"/>
  <c r="S2626" i="1"/>
  <c r="Q2626" i="1"/>
  <c r="E2626" i="1"/>
  <c r="D2626" i="1" s="1"/>
  <c r="B2626" i="1"/>
  <c r="S2629" i="1"/>
  <c r="Q2629" i="1"/>
  <c r="E2629" i="1"/>
  <c r="B2629" i="1"/>
  <c r="S2628" i="1"/>
  <c r="Q2628" i="1"/>
  <c r="E2628" i="1"/>
  <c r="B2628" i="1"/>
  <c r="S1023" i="1"/>
  <c r="Q1023" i="1"/>
  <c r="E1023" i="1"/>
  <c r="D1023" i="1" s="1"/>
  <c r="B1023" i="1"/>
  <c r="S2634" i="1"/>
  <c r="Q2634" i="1"/>
  <c r="E2634" i="1"/>
  <c r="B2634" i="1"/>
  <c r="S2622" i="1"/>
  <c r="Q2622" i="1"/>
  <c r="E2622" i="1"/>
  <c r="D2622" i="1" s="1"/>
  <c r="B2622" i="1"/>
  <c r="S2621" i="1"/>
  <c r="Q2621" i="1"/>
  <c r="E2621" i="1"/>
  <c r="D2621" i="1" s="1"/>
  <c r="B2621" i="1"/>
  <c r="S2623" i="1"/>
  <c r="Q2623" i="1"/>
  <c r="E2623" i="1"/>
  <c r="B2623" i="1"/>
  <c r="S2624" i="1"/>
  <c r="Q2624" i="1"/>
  <c r="E2624" i="1"/>
  <c r="D2624" i="1" s="1"/>
  <c r="B2624" i="1"/>
  <c r="D2665" i="1" l="1"/>
  <c r="D2673" i="1"/>
  <c r="D1040" i="1"/>
  <c r="D1027" i="1"/>
  <c r="D1073" i="1"/>
  <c r="D2628" i="1"/>
  <c r="D2655" i="1"/>
  <c r="D2644" i="1"/>
  <c r="D2634" i="1"/>
  <c r="D1030" i="1"/>
  <c r="D2643" i="1"/>
  <c r="D2648" i="1"/>
  <c r="D1026" i="1"/>
  <c r="D2623" i="1"/>
  <c r="D2629" i="1"/>
  <c r="D2656" i="1"/>
  <c r="D1037" i="1"/>
  <c r="D1038" i="1"/>
  <c r="D2664" i="1"/>
  <c r="D2674" i="1"/>
  <c r="D1048" i="1"/>
  <c r="D2681" i="1"/>
  <c r="D2693" i="1"/>
  <c r="D2692" i="1"/>
  <c r="D1061" i="1"/>
  <c r="D2661" i="1"/>
  <c r="D2666" i="1"/>
  <c r="D2671" i="1"/>
  <c r="D2679" i="1"/>
  <c r="D2663" i="1"/>
  <c r="D1021" i="1"/>
  <c r="D2675" i="1"/>
  <c r="D2672" i="1"/>
  <c r="D2682" i="1"/>
  <c r="Q2687" i="1"/>
  <c r="E2687" i="1"/>
  <c r="S2687" i="1"/>
  <c r="E2657" i="1"/>
  <c r="D2657" i="1" s="1"/>
  <c r="S1011" i="1"/>
  <c r="Q1011" i="1"/>
  <c r="E1011" i="1"/>
  <c r="B1011" i="1"/>
  <c r="S2613" i="1"/>
  <c r="Q2613" i="1"/>
  <c r="E2613" i="1"/>
  <c r="B2613" i="1"/>
  <c r="S1008" i="1"/>
  <c r="Q1008" i="1"/>
  <c r="J1008" i="1"/>
  <c r="I1008" i="1"/>
  <c r="H1008" i="1"/>
  <c r="G1008" i="1"/>
  <c r="F1008" i="1"/>
  <c r="B1008" i="1"/>
  <c r="S1006" i="1"/>
  <c r="Q1006" i="1"/>
  <c r="J1006" i="1"/>
  <c r="I1006" i="1"/>
  <c r="H1006" i="1"/>
  <c r="G1006" i="1"/>
  <c r="F1006" i="1"/>
  <c r="B1006" i="1"/>
  <c r="S1005" i="1"/>
  <c r="Q1005" i="1"/>
  <c r="J1005" i="1"/>
  <c r="I1005" i="1"/>
  <c r="H1005" i="1"/>
  <c r="G1005" i="1"/>
  <c r="F1005" i="1"/>
  <c r="B1005" i="1"/>
  <c r="S1004" i="1"/>
  <c r="Q1004" i="1"/>
  <c r="J1004" i="1"/>
  <c r="I1004" i="1"/>
  <c r="H1004" i="1"/>
  <c r="G1004" i="1"/>
  <c r="F1004" i="1"/>
  <c r="B1004" i="1"/>
  <c r="S960" i="1"/>
  <c r="Q960" i="1"/>
  <c r="M960" i="1"/>
  <c r="E960" i="1"/>
  <c r="B960" i="1"/>
  <c r="S959" i="1"/>
  <c r="Q959" i="1"/>
  <c r="M959" i="1"/>
  <c r="E959" i="1"/>
  <c r="B959" i="1"/>
  <c r="S961" i="1"/>
  <c r="Q961" i="1"/>
  <c r="M961" i="1"/>
  <c r="E961" i="1"/>
  <c r="B961" i="1"/>
  <c r="S915" i="1"/>
  <c r="Q915" i="1"/>
  <c r="J915" i="1"/>
  <c r="I915" i="1"/>
  <c r="H915" i="1"/>
  <c r="G915" i="1"/>
  <c r="F915" i="1"/>
  <c r="B915" i="1"/>
  <c r="S2591" i="1"/>
  <c r="Q2591" i="1"/>
  <c r="E2591" i="1"/>
  <c r="B2591" i="1"/>
  <c r="Q2582" i="1"/>
  <c r="O2582" i="1"/>
  <c r="F2582" i="1"/>
  <c r="E2582" i="1" s="1"/>
  <c r="D2582" i="1" s="1"/>
  <c r="B2582" i="1"/>
  <c r="S2565" i="1"/>
  <c r="Q2565" i="1"/>
  <c r="E2565" i="1"/>
  <c r="B2565" i="1"/>
  <c r="S2566" i="1"/>
  <c r="Q2566" i="1"/>
  <c r="E2566" i="1"/>
  <c r="B2566" i="1"/>
  <c r="S831" i="1"/>
  <c r="Q831" i="1"/>
  <c r="E831" i="1"/>
  <c r="D831" i="1" s="1"/>
  <c r="B831" i="1"/>
  <c r="S830" i="1"/>
  <c r="Q830" i="1"/>
  <c r="B830" i="1"/>
  <c r="S829" i="1"/>
  <c r="Q829" i="1"/>
  <c r="E829" i="1"/>
  <c r="D829" i="1" s="1"/>
  <c r="B829" i="1"/>
  <c r="S2560" i="1"/>
  <c r="Q2560" i="1"/>
  <c r="J2560" i="1"/>
  <c r="H2560" i="1"/>
  <c r="F2560" i="1"/>
  <c r="B2560" i="1"/>
  <c r="S2559" i="1"/>
  <c r="Q2559" i="1"/>
  <c r="J2559" i="1"/>
  <c r="H2559" i="1"/>
  <c r="F2559" i="1"/>
  <c r="B2559" i="1"/>
  <c r="S2558" i="1"/>
  <c r="Q2558" i="1"/>
  <c r="J2558" i="1"/>
  <c r="H2558" i="1"/>
  <c r="B2558" i="1"/>
  <c r="Q785" i="1"/>
  <c r="E785" i="1"/>
  <c r="B785" i="1"/>
  <c r="Q784" i="1"/>
  <c r="E784" i="1"/>
  <c r="D784" i="1" s="1"/>
  <c r="B784" i="1"/>
  <c r="Q786" i="1"/>
  <c r="E786" i="1"/>
  <c r="B786" i="1"/>
  <c r="S762" i="1"/>
  <c r="Q762" i="1"/>
  <c r="E762" i="1"/>
  <c r="B762" i="1"/>
  <c r="S752" i="1"/>
  <c r="Q752" i="1"/>
  <c r="O752" i="1"/>
  <c r="E752" i="1"/>
  <c r="B752" i="1"/>
  <c r="S2532" i="1"/>
  <c r="Q2532" i="1"/>
  <c r="E2532" i="1"/>
  <c r="B2532" i="1"/>
  <c r="S750" i="1"/>
  <c r="Q750" i="1"/>
  <c r="O750" i="1"/>
  <c r="E750" i="1"/>
  <c r="B750" i="1"/>
  <c r="S2533" i="1"/>
  <c r="Q2533" i="1"/>
  <c r="E2533" i="1"/>
  <c r="B2533" i="1"/>
  <c r="S754" i="1"/>
  <c r="Q754" i="1"/>
  <c r="O754" i="1"/>
  <c r="E754" i="1"/>
  <c r="D754" i="1" s="1"/>
  <c r="B754" i="1"/>
  <c r="S714" i="1"/>
  <c r="Q714" i="1"/>
  <c r="O714" i="1"/>
  <c r="E714" i="1"/>
  <c r="B714" i="1"/>
  <c r="S2507" i="1"/>
  <c r="Q2507" i="1"/>
  <c r="E2507" i="1"/>
  <c r="B2507" i="1"/>
  <c r="S688" i="1"/>
  <c r="Q688" i="1"/>
  <c r="O688" i="1"/>
  <c r="E688" i="1"/>
  <c r="B688" i="1"/>
  <c r="S2505" i="1"/>
  <c r="Q2505" i="1"/>
  <c r="E2505" i="1"/>
  <c r="B2505" i="1"/>
  <c r="S658" i="1"/>
  <c r="Q658" i="1"/>
  <c r="E658" i="1"/>
  <c r="B658" i="1"/>
  <c r="S650" i="1"/>
  <c r="Q650" i="1"/>
  <c r="O650" i="1"/>
  <c r="E650" i="1"/>
  <c r="B650" i="1"/>
  <c r="S652" i="1"/>
  <c r="Q652" i="1"/>
  <c r="O652" i="1"/>
  <c r="E652" i="1"/>
  <c r="B652" i="1"/>
  <c r="S654" i="1"/>
  <c r="Q654" i="1"/>
  <c r="O654" i="1"/>
  <c r="E654" i="1"/>
  <c r="B654" i="1"/>
  <c r="S2468" i="1"/>
  <c r="Q2468" i="1"/>
  <c r="E2468" i="1"/>
  <c r="B2468" i="1"/>
  <c r="S2469" i="1"/>
  <c r="Q2469" i="1"/>
  <c r="E2469" i="1"/>
  <c r="B2469" i="1"/>
  <c r="S621" i="1"/>
  <c r="Q621" i="1"/>
  <c r="E621" i="1"/>
  <c r="B621" i="1"/>
  <c r="S602" i="1"/>
  <c r="Q602" i="1"/>
  <c r="O602" i="1"/>
  <c r="E602" i="1"/>
  <c r="B602" i="1"/>
  <c r="S588" i="1"/>
  <c r="Q588" i="1"/>
  <c r="E588" i="1"/>
  <c r="B588" i="1"/>
  <c r="S2436" i="1"/>
  <c r="Q2436" i="1"/>
  <c r="E2436" i="1"/>
  <c r="B2436" i="1"/>
  <c r="S575" i="1"/>
  <c r="Q575" i="1"/>
  <c r="J575" i="1"/>
  <c r="I575" i="1"/>
  <c r="H575" i="1"/>
  <c r="G575" i="1"/>
  <c r="F575" i="1"/>
  <c r="B575" i="1"/>
  <c r="S2428" i="1"/>
  <c r="Q2428" i="1"/>
  <c r="E2428" i="1"/>
  <c r="B2428" i="1"/>
  <c r="S2426" i="1"/>
  <c r="Q2426" i="1"/>
  <c r="E2426" i="1"/>
  <c r="B2426" i="1"/>
  <c r="S568" i="1"/>
  <c r="Q568" i="1"/>
  <c r="J568" i="1"/>
  <c r="I568" i="1"/>
  <c r="H568" i="1"/>
  <c r="G568" i="1"/>
  <c r="F568" i="1"/>
  <c r="B568" i="1"/>
  <c r="S560" i="1"/>
  <c r="Q560" i="1"/>
  <c r="J560" i="1"/>
  <c r="I560" i="1"/>
  <c r="H560" i="1"/>
  <c r="G560" i="1"/>
  <c r="F560" i="1"/>
  <c r="B560" i="1"/>
  <c r="S544" i="1"/>
  <c r="Q544" i="1"/>
  <c r="E544" i="1"/>
  <c r="B544" i="1"/>
  <c r="S531" i="1"/>
  <c r="Q531" i="1"/>
  <c r="E531" i="1"/>
  <c r="B531" i="1"/>
  <c r="S482" i="1"/>
  <c r="Q482" i="1"/>
  <c r="E482" i="1"/>
  <c r="B482" i="1"/>
  <c r="S2407" i="1"/>
  <c r="Q2407" i="1"/>
  <c r="J2407" i="1"/>
  <c r="I2407" i="1"/>
  <c r="G2407" i="1"/>
  <c r="F2407" i="1"/>
  <c r="B2407" i="1"/>
  <c r="B1589" i="1"/>
  <c r="F1589" i="1"/>
  <c r="G1589" i="1"/>
  <c r="H1589" i="1"/>
  <c r="I1589" i="1"/>
  <c r="J1589" i="1"/>
  <c r="Q1589" i="1"/>
  <c r="S1589" i="1"/>
  <c r="S2393" i="1"/>
  <c r="Q2393" i="1"/>
  <c r="E2393" i="1"/>
  <c r="B2393" i="1"/>
  <c r="S475" i="1"/>
  <c r="Q475" i="1"/>
  <c r="E475" i="1"/>
  <c r="B475" i="1"/>
  <c r="S2391" i="1"/>
  <c r="Q2391" i="1"/>
  <c r="E2391" i="1"/>
  <c r="B2391" i="1"/>
  <c r="S449" i="1"/>
  <c r="Q449" i="1"/>
  <c r="E449" i="1"/>
  <c r="B449" i="1"/>
  <c r="S2384" i="1"/>
  <c r="Q2384" i="1"/>
  <c r="E2384" i="1"/>
  <c r="B2384" i="1"/>
  <c r="S2383" i="1"/>
  <c r="Q2383" i="1"/>
  <c r="E2383" i="1"/>
  <c r="B2383" i="1"/>
  <c r="S448" i="1"/>
  <c r="Q448" i="1"/>
  <c r="E448" i="1"/>
  <c r="B448" i="1"/>
  <c r="S447" i="1"/>
  <c r="Q447" i="1"/>
  <c r="E447" i="1"/>
  <c r="B447" i="1"/>
  <c r="S2367" i="1"/>
  <c r="Q2367" i="1"/>
  <c r="E2367" i="1"/>
  <c r="B2367" i="1"/>
  <c r="S436" i="1"/>
  <c r="Q436" i="1"/>
  <c r="E436" i="1"/>
  <c r="B436" i="1"/>
  <c r="S2361" i="1"/>
  <c r="Q2361" i="1"/>
  <c r="E2361" i="1"/>
  <c r="B2361" i="1"/>
  <c r="S2362" i="1"/>
  <c r="Q2362" i="1"/>
  <c r="E2362" i="1"/>
  <c r="B2362" i="1"/>
  <c r="S2358" i="1"/>
  <c r="Q2358" i="1"/>
  <c r="E2358" i="1"/>
  <c r="B2358" i="1"/>
  <c r="S2359" i="1"/>
  <c r="Q2359" i="1"/>
  <c r="E2359" i="1"/>
  <c r="B2359" i="1"/>
  <c r="S424" i="1"/>
  <c r="Q424" i="1"/>
  <c r="E424" i="1"/>
  <c r="B424" i="1"/>
  <c r="S417" i="1"/>
  <c r="Q417" i="1"/>
  <c r="E417" i="1"/>
  <c r="B417" i="1"/>
  <c r="S2352" i="1"/>
  <c r="Q2352" i="1"/>
  <c r="E2352" i="1"/>
  <c r="B2352" i="1"/>
  <c r="S2350" i="1"/>
  <c r="Q2350" i="1"/>
  <c r="E2350" i="1"/>
  <c r="B2350" i="1"/>
  <c r="S2337" i="1"/>
  <c r="Q2337" i="1"/>
  <c r="E2337" i="1"/>
  <c r="B2337" i="1"/>
  <c r="S2334" i="1"/>
  <c r="Q2334" i="1"/>
  <c r="E2334" i="1"/>
  <c r="B2334" i="1"/>
  <c r="S356" i="1"/>
  <c r="Q356" i="1"/>
  <c r="E356" i="1"/>
  <c r="B356" i="1"/>
  <c r="S357" i="1"/>
  <c r="Q357" i="1"/>
  <c r="E357" i="1"/>
  <c r="B357" i="1"/>
  <c r="S364" i="1"/>
  <c r="Q364" i="1"/>
  <c r="E364" i="1"/>
  <c r="B364" i="1"/>
  <c r="S2332" i="1"/>
  <c r="Q2332" i="1"/>
  <c r="E2332" i="1"/>
  <c r="B2332" i="1"/>
  <c r="S363" i="1"/>
  <c r="Q363" i="1"/>
  <c r="E363" i="1"/>
  <c r="B363" i="1"/>
  <c r="S365" i="1"/>
  <c r="Q365" i="1"/>
  <c r="E365" i="1"/>
  <c r="B365" i="1"/>
  <c r="S2328" i="1"/>
  <c r="Q2328" i="1"/>
  <c r="E2328" i="1"/>
  <c r="B2328" i="1"/>
  <c r="S343" i="1"/>
  <c r="Q343" i="1"/>
  <c r="E343" i="1"/>
  <c r="B343" i="1"/>
  <c r="S344" i="1"/>
  <c r="Q344" i="1"/>
  <c r="E344" i="1"/>
  <c r="B344" i="1"/>
  <c r="S340" i="1"/>
  <c r="Q340" i="1"/>
  <c r="E340" i="1"/>
  <c r="B340" i="1"/>
  <c r="S337" i="1"/>
  <c r="Q337" i="1"/>
  <c r="E337" i="1"/>
  <c r="B337" i="1"/>
  <c r="S338" i="1"/>
  <c r="Q338" i="1"/>
  <c r="E338" i="1"/>
  <c r="B338" i="1"/>
  <c r="S1504" i="1"/>
  <c r="Q1504" i="1"/>
  <c r="E1504" i="1"/>
  <c r="B1504" i="1"/>
  <c r="S1503" i="1"/>
  <c r="Q1503" i="1"/>
  <c r="E1503" i="1"/>
  <c r="B1503" i="1"/>
  <c r="S1501" i="1"/>
  <c r="Q1501" i="1"/>
  <c r="E1501" i="1"/>
  <c r="B1501" i="1"/>
  <c r="S1502" i="1"/>
  <c r="Q1502" i="1"/>
  <c r="E1502" i="1"/>
  <c r="B1502" i="1"/>
  <c r="D2533" i="1" l="1"/>
  <c r="D785" i="1"/>
  <c r="D652" i="1"/>
  <c r="D2566" i="1"/>
  <c r="D2591" i="1"/>
  <c r="D961" i="1"/>
  <c r="D2565" i="1"/>
  <c r="D650" i="1"/>
  <c r="D750" i="1"/>
  <c r="D959" i="1"/>
  <c r="D482" i="1"/>
  <c r="D531" i="1"/>
  <c r="D544" i="1"/>
  <c r="D2426" i="1"/>
  <c r="D2428" i="1"/>
  <c r="D2436" i="1"/>
  <c r="D588" i="1"/>
  <c r="D602" i="1"/>
  <c r="D658" i="1"/>
  <c r="D2505" i="1"/>
  <c r="D688" i="1"/>
  <c r="D2532" i="1"/>
  <c r="D752" i="1"/>
  <c r="D960" i="1"/>
  <c r="D1502" i="1"/>
  <c r="D1501" i="1"/>
  <c r="D1503" i="1"/>
  <c r="D1504" i="1"/>
  <c r="D338" i="1"/>
  <c r="D337" i="1"/>
  <c r="D340" i="1"/>
  <c r="D344" i="1"/>
  <c r="D343" i="1"/>
  <c r="D2328" i="1"/>
  <c r="D365" i="1"/>
  <c r="D363" i="1"/>
  <c r="D2332" i="1"/>
  <c r="D364" i="1"/>
  <c r="D357" i="1"/>
  <c r="D356" i="1"/>
  <c r="D2334" i="1"/>
  <c r="D2337" i="1"/>
  <c r="D2350" i="1"/>
  <c r="D2352" i="1"/>
  <c r="D417" i="1"/>
  <c r="D424" i="1"/>
  <c r="D2359" i="1"/>
  <c r="D2358" i="1"/>
  <c r="D2362" i="1"/>
  <c r="D2361" i="1"/>
  <c r="D436" i="1"/>
  <c r="D2367" i="1"/>
  <c r="D447" i="1"/>
  <c r="D448" i="1"/>
  <c r="D2383" i="1"/>
  <c r="D2384" i="1"/>
  <c r="D449" i="1"/>
  <c r="D2391" i="1"/>
  <c r="D475" i="1"/>
  <c r="D2393" i="1"/>
  <c r="D621" i="1"/>
  <c r="D2469" i="1"/>
  <c r="D2468" i="1"/>
  <c r="D654" i="1"/>
  <c r="D2507" i="1"/>
  <c r="D714" i="1"/>
  <c r="D762" i="1"/>
  <c r="D786" i="1"/>
  <c r="D2613" i="1"/>
  <c r="D1011" i="1"/>
  <c r="D2687" i="1"/>
  <c r="E1008" i="1"/>
  <c r="D1008" i="1" s="1"/>
  <c r="E1006" i="1"/>
  <c r="D1006" i="1" s="1"/>
  <c r="E1004" i="1"/>
  <c r="D1004" i="1" s="1"/>
  <c r="E1005" i="1"/>
  <c r="D1005" i="1" s="1"/>
  <c r="E915" i="1"/>
  <c r="D915" i="1" s="1"/>
  <c r="E2560" i="1"/>
  <c r="D2560" i="1" s="1"/>
  <c r="E830" i="1"/>
  <c r="D830" i="1" s="1"/>
  <c r="E2558" i="1"/>
  <c r="D2558" i="1" s="1"/>
  <c r="E2559" i="1"/>
  <c r="D2559" i="1" s="1"/>
  <c r="E575" i="1"/>
  <c r="D575" i="1" s="1"/>
  <c r="E568" i="1"/>
  <c r="D568" i="1" s="1"/>
  <c r="E560" i="1"/>
  <c r="D560" i="1" s="1"/>
  <c r="E2407" i="1"/>
  <c r="D2407" i="1" s="1"/>
  <c r="E1589" i="1"/>
  <c r="D1589" i="1" s="1"/>
  <c r="S336" i="1"/>
  <c r="Q336" i="1"/>
  <c r="E336" i="1"/>
  <c r="B336" i="1"/>
  <c r="S332" i="1"/>
  <c r="Q332" i="1"/>
  <c r="E332" i="1"/>
  <c r="B332" i="1"/>
  <c r="S1496" i="1"/>
  <c r="Q1496" i="1"/>
  <c r="O1496" i="1"/>
  <c r="E1496" i="1"/>
  <c r="B1496" i="1"/>
  <c r="S1495" i="1"/>
  <c r="Q1495" i="1"/>
  <c r="O1495" i="1"/>
  <c r="E1495" i="1"/>
  <c r="B1495" i="1"/>
  <c r="S1494" i="1"/>
  <c r="Q1494" i="1"/>
  <c r="O1494" i="1"/>
  <c r="J1494" i="1"/>
  <c r="H1494" i="1"/>
  <c r="G1494" i="1"/>
  <c r="F1494" i="1"/>
  <c r="B1494" i="1"/>
  <c r="S327" i="1"/>
  <c r="Q327" i="1"/>
  <c r="E327" i="1"/>
  <c r="B327" i="1"/>
  <c r="S316" i="1"/>
  <c r="Q316" i="1"/>
  <c r="E316" i="1"/>
  <c r="B316" i="1"/>
  <c r="S2320" i="1"/>
  <c r="Q2320" i="1"/>
  <c r="E2320" i="1"/>
  <c r="B2320" i="1"/>
  <c r="S2318" i="1"/>
  <c r="Q2318" i="1"/>
  <c r="E2318" i="1"/>
  <c r="B2318" i="1"/>
  <c r="S318" i="1"/>
  <c r="Q318" i="1"/>
  <c r="E318" i="1"/>
  <c r="B318" i="1"/>
  <c r="S305" i="1"/>
  <c r="Q305" i="1"/>
  <c r="E305" i="1"/>
  <c r="B305" i="1"/>
  <c r="S309" i="1"/>
  <c r="Q309" i="1"/>
  <c r="E309" i="1"/>
  <c r="B309" i="1"/>
  <c r="S2317" i="1"/>
  <c r="Q2317" i="1"/>
  <c r="E2317" i="1"/>
  <c r="B2317" i="1"/>
  <c r="S307" i="1"/>
  <c r="Q307" i="1"/>
  <c r="J307" i="1"/>
  <c r="I307" i="1"/>
  <c r="H307" i="1"/>
  <c r="G307" i="1"/>
  <c r="F307" i="1"/>
  <c r="B307" i="1"/>
  <c r="M2308" i="1"/>
  <c r="E2308" i="1"/>
  <c r="D2308" i="1" s="1"/>
  <c r="B2308" i="1"/>
  <c r="M285" i="1"/>
  <c r="E285" i="1"/>
  <c r="D285" i="1" s="1"/>
  <c r="B285" i="1"/>
  <c r="M2307" i="1"/>
  <c r="E2307" i="1"/>
  <c r="B2307" i="1"/>
  <c r="M2309" i="1"/>
  <c r="E2309" i="1"/>
  <c r="D2309" i="1" s="1"/>
  <c r="B2309" i="1"/>
  <c r="M2302" i="1"/>
  <c r="E2302" i="1"/>
  <c r="D2302" i="1" s="1"/>
  <c r="B2302" i="1"/>
  <c r="M2290" i="1"/>
  <c r="E2290" i="1"/>
  <c r="D2290" i="1" s="1"/>
  <c r="B2290" i="1"/>
  <c r="M2287" i="1"/>
  <c r="E2287" i="1"/>
  <c r="B2287" i="1"/>
  <c r="M2286" i="1"/>
  <c r="E2286" i="1"/>
  <c r="D2286" i="1" s="1"/>
  <c r="B2286" i="1"/>
  <c r="M278" i="1"/>
  <c r="E278" i="1"/>
  <c r="D278" i="1" s="1"/>
  <c r="B278" i="1"/>
  <c r="M258" i="1"/>
  <c r="E258" i="1"/>
  <c r="D258" i="1" s="1"/>
  <c r="B258" i="1"/>
  <c r="M253" i="1"/>
  <c r="E253" i="1"/>
  <c r="B253" i="1"/>
  <c r="M251" i="1"/>
  <c r="E251" i="1"/>
  <c r="D251" i="1" s="1"/>
  <c r="B251" i="1"/>
  <c r="M250" i="1"/>
  <c r="E250" i="1"/>
  <c r="D250" i="1" s="1"/>
  <c r="B250" i="1"/>
  <c r="M249" i="1"/>
  <c r="E249" i="1"/>
  <c r="D249" i="1" s="1"/>
  <c r="B249" i="1"/>
  <c r="M248" i="1"/>
  <c r="E248" i="1"/>
  <c r="B248" i="1"/>
  <c r="M2280" i="1"/>
  <c r="E2280" i="1"/>
  <c r="D2280" i="1" s="1"/>
  <c r="B2280" i="1"/>
  <c r="M2267" i="1"/>
  <c r="E2267" i="1"/>
  <c r="D2267" i="1" s="1"/>
  <c r="B2267" i="1"/>
  <c r="M252" i="1"/>
  <c r="E252" i="1"/>
  <c r="D252" i="1" s="1"/>
  <c r="B252" i="1"/>
  <c r="M2262" i="1"/>
  <c r="E2262" i="1"/>
  <c r="B2262" i="1"/>
  <c r="M2263" i="1"/>
  <c r="E2263" i="1"/>
  <c r="D2263" i="1" s="1"/>
  <c r="B2263" i="1"/>
  <c r="M245" i="1"/>
  <c r="E245" i="1"/>
  <c r="D245" i="1" s="1"/>
  <c r="B245" i="1"/>
  <c r="M2259" i="1"/>
  <c r="E2259" i="1"/>
  <c r="D2259" i="1" s="1"/>
  <c r="B2259" i="1"/>
  <c r="M2260" i="1"/>
  <c r="E2260" i="1"/>
  <c r="B2260" i="1"/>
  <c r="M244" i="1"/>
  <c r="E244" i="1"/>
  <c r="D244" i="1" s="1"/>
  <c r="B244" i="1"/>
  <c r="M239" i="1"/>
  <c r="E239" i="1"/>
  <c r="D239" i="1" s="1"/>
  <c r="B239" i="1"/>
  <c r="M2257" i="1"/>
  <c r="E2257" i="1"/>
  <c r="D2257" i="1" s="1"/>
  <c r="B2257" i="1"/>
  <c r="M2255" i="1"/>
  <c r="E2255" i="1"/>
  <c r="B2255" i="1"/>
  <c r="M2256" i="1"/>
  <c r="E2256" i="1"/>
  <c r="D2256" i="1" s="1"/>
  <c r="B2256" i="1"/>
  <c r="M2254" i="1"/>
  <c r="E2254" i="1"/>
  <c r="D2254" i="1" s="1"/>
  <c r="B2254" i="1"/>
  <c r="M236" i="1"/>
  <c r="E236" i="1"/>
  <c r="D236" i="1" s="1"/>
  <c r="B236" i="1"/>
  <c r="M237" i="1"/>
  <c r="E237" i="1"/>
  <c r="B237" i="1"/>
  <c r="M2252" i="1"/>
  <c r="E2252" i="1"/>
  <c r="D2252" i="1" s="1"/>
  <c r="B2252" i="1"/>
  <c r="M2251" i="1"/>
  <c r="E2251" i="1"/>
  <c r="D2251" i="1" s="1"/>
  <c r="B2251" i="1"/>
  <c r="M235" i="1"/>
  <c r="E235" i="1"/>
  <c r="D235" i="1" s="1"/>
  <c r="B235" i="1"/>
  <c r="M231" i="1"/>
  <c r="E231" i="1"/>
  <c r="B231" i="1"/>
  <c r="M229" i="1"/>
  <c r="E229" i="1"/>
  <c r="D229" i="1" s="1"/>
  <c r="B229" i="1"/>
  <c r="M230" i="1"/>
  <c r="E230" i="1"/>
  <c r="D230" i="1" s="1"/>
  <c r="B230" i="1"/>
  <c r="M232" i="1"/>
  <c r="E232" i="1"/>
  <c r="D232" i="1" s="1"/>
  <c r="B232" i="1"/>
  <c r="M228" i="1"/>
  <c r="E228" i="1"/>
  <c r="B228" i="1"/>
  <c r="M227" i="1"/>
  <c r="E227" i="1"/>
  <c r="D227" i="1" s="1"/>
  <c r="B227" i="1"/>
  <c r="M2245" i="1"/>
  <c r="E2245" i="1"/>
  <c r="D2245" i="1" s="1"/>
  <c r="B2245" i="1"/>
  <c r="M2244" i="1"/>
  <c r="E2244" i="1"/>
  <c r="D2244" i="1" s="1"/>
  <c r="B2244" i="1"/>
  <c r="M225" i="1"/>
  <c r="E225" i="1"/>
  <c r="B225" i="1"/>
  <c r="M226" i="1"/>
  <c r="E226" i="1"/>
  <c r="D226" i="1" s="1"/>
  <c r="B226" i="1"/>
  <c r="S200" i="1"/>
  <c r="Q200" i="1"/>
  <c r="E200" i="1"/>
  <c r="B200" i="1"/>
  <c r="S201" i="1"/>
  <c r="Q201" i="1"/>
  <c r="E201" i="1"/>
  <c r="B201" i="1"/>
  <c r="S2236" i="1"/>
  <c r="Q2236" i="1"/>
  <c r="E2236" i="1"/>
  <c r="D2236" i="1" s="1"/>
  <c r="B2236" i="1"/>
  <c r="S219" i="1"/>
  <c r="Q219" i="1"/>
  <c r="E219" i="1"/>
  <c r="B219" i="1"/>
  <c r="D219" i="1" l="1"/>
  <c r="D200" i="1"/>
  <c r="D2317" i="1"/>
  <c r="D309" i="1"/>
  <c r="D201" i="1"/>
  <c r="D305" i="1"/>
  <c r="D1496" i="1"/>
  <c r="D318" i="1"/>
  <c r="D2318" i="1"/>
  <c r="D225" i="1"/>
  <c r="D228" i="1"/>
  <c r="D231" i="1"/>
  <c r="D237" i="1"/>
  <c r="D2255" i="1"/>
  <c r="D2260" i="1"/>
  <c r="D2262" i="1"/>
  <c r="D248" i="1"/>
  <c r="D253" i="1"/>
  <c r="D2287" i="1"/>
  <c r="D2307" i="1"/>
  <c r="D2320" i="1"/>
  <c r="D316" i="1"/>
  <c r="D327" i="1"/>
  <c r="D1495" i="1"/>
  <c r="D332" i="1"/>
  <c r="D336" i="1"/>
  <c r="M2285" i="1"/>
  <c r="E307" i="1"/>
  <c r="D307" i="1" s="1"/>
  <c r="E1494" i="1"/>
  <c r="D1494" i="1" s="1"/>
  <c r="S207" i="1" l="1"/>
  <c r="Q207" i="1"/>
  <c r="E207" i="1"/>
  <c r="D207" i="1" s="1"/>
  <c r="B207" i="1"/>
  <c r="S206" i="1"/>
  <c r="Q206" i="1"/>
  <c r="E206" i="1"/>
  <c r="B206" i="1"/>
  <c r="S2225" i="1"/>
  <c r="Q2225" i="1"/>
  <c r="E2225" i="1"/>
  <c r="D2225" i="1" s="1"/>
  <c r="B2225" i="1"/>
  <c r="S205" i="1"/>
  <c r="Q205" i="1"/>
  <c r="E205" i="1"/>
  <c r="D205" i="1" s="1"/>
  <c r="B205" i="1"/>
  <c r="S208" i="1"/>
  <c r="Q208" i="1"/>
  <c r="E208" i="1"/>
  <c r="D208" i="1" s="1"/>
  <c r="B208" i="1"/>
  <c r="S218" i="1"/>
  <c r="Q218" i="1"/>
  <c r="E218" i="1"/>
  <c r="D218" i="1" s="1"/>
  <c r="B218" i="1"/>
  <c r="S214" i="1"/>
  <c r="Q214" i="1"/>
  <c r="E214" i="1"/>
  <c r="D214" i="1" s="1"/>
  <c r="B214" i="1"/>
  <c r="S215" i="1"/>
  <c r="Q215" i="1"/>
  <c r="E215" i="1"/>
  <c r="D215" i="1" s="1"/>
  <c r="B215" i="1"/>
  <c r="S2230" i="1"/>
  <c r="Q2230" i="1"/>
  <c r="E2230" i="1"/>
  <c r="D2230" i="1" s="1"/>
  <c r="B2230" i="1"/>
  <c r="S212" i="1"/>
  <c r="Q212" i="1"/>
  <c r="E212" i="1"/>
  <c r="D212" i="1" s="1"/>
  <c r="B212" i="1"/>
  <c r="S210" i="1"/>
  <c r="Q210" i="1"/>
  <c r="E210" i="1"/>
  <c r="D210" i="1" s="1"/>
  <c r="B210" i="1"/>
  <c r="S209" i="1"/>
  <c r="Q209" i="1"/>
  <c r="E209" i="1"/>
  <c r="D209" i="1" s="1"/>
  <c r="B209" i="1"/>
  <c r="S197" i="1"/>
  <c r="Q197" i="1"/>
  <c r="E197" i="1"/>
  <c r="D197" i="1" s="1"/>
  <c r="B197" i="1"/>
  <c r="S196" i="1"/>
  <c r="Q196" i="1"/>
  <c r="E196" i="1"/>
  <c r="D196" i="1" s="1"/>
  <c r="B196" i="1"/>
  <c r="S193" i="1"/>
  <c r="Q193" i="1"/>
  <c r="E193" i="1"/>
  <c r="D193" i="1" s="1"/>
  <c r="B193" i="1"/>
  <c r="S2209" i="1"/>
  <c r="Q2209" i="1"/>
  <c r="E2209" i="1"/>
  <c r="D2209" i="1" s="1"/>
  <c r="B2209" i="1"/>
  <c r="S191" i="1"/>
  <c r="Q191" i="1"/>
  <c r="E191" i="1"/>
  <c r="D191" i="1" s="1"/>
  <c r="B191" i="1"/>
  <c r="S184" i="1"/>
  <c r="Q184" i="1"/>
  <c r="E184" i="1"/>
  <c r="D184" i="1" s="1"/>
  <c r="B184" i="1"/>
  <c r="B2191" i="1"/>
  <c r="B2190" i="1"/>
  <c r="S2190" i="1"/>
  <c r="Q2190" i="1"/>
  <c r="E2190" i="1"/>
  <c r="S170" i="1"/>
  <c r="Q170" i="1"/>
  <c r="E170" i="1"/>
  <c r="B170" i="1"/>
  <c r="S171" i="1"/>
  <c r="Q171" i="1"/>
  <c r="E171" i="1"/>
  <c r="B171" i="1"/>
  <c r="S178" i="1"/>
  <c r="Q178" i="1"/>
  <c r="E178" i="1"/>
  <c r="B178" i="1"/>
  <c r="S2191" i="1"/>
  <c r="Q2191" i="1"/>
  <c r="E2191" i="1"/>
  <c r="S2175" i="1"/>
  <c r="Q2175" i="1"/>
  <c r="E2175" i="1"/>
  <c r="D2175" i="1" s="1"/>
  <c r="B2175" i="1"/>
  <c r="S2174" i="1"/>
  <c r="Q2174" i="1"/>
  <c r="E2174" i="1"/>
  <c r="D2174" i="1" s="1"/>
  <c r="B2174" i="1"/>
  <c r="S157" i="1"/>
  <c r="Q157" i="1"/>
  <c r="E157" i="1"/>
  <c r="D157" i="1" s="1"/>
  <c r="B157" i="1"/>
  <c r="S158" i="1"/>
  <c r="Q158" i="1"/>
  <c r="E158" i="1"/>
  <c r="D158" i="1" s="1"/>
  <c r="B158" i="1"/>
  <c r="S2170" i="1"/>
  <c r="Q2170" i="1"/>
  <c r="E2170" i="1"/>
  <c r="D2170" i="1" s="1"/>
  <c r="B2170" i="1"/>
  <c r="S2172" i="1"/>
  <c r="Q2172" i="1"/>
  <c r="E2172" i="1"/>
  <c r="D2172" i="1" s="1"/>
  <c r="B2172" i="1"/>
  <c r="S2173" i="1"/>
  <c r="Q2173" i="1"/>
  <c r="E2173" i="1"/>
  <c r="D2173" i="1" s="1"/>
  <c r="B2173" i="1"/>
  <c r="S162" i="1"/>
  <c r="Q162" i="1"/>
  <c r="E162" i="1"/>
  <c r="D162" i="1" s="1"/>
  <c r="B162" i="1"/>
  <c r="S2176" i="1"/>
  <c r="Q2176" i="1"/>
  <c r="J2176" i="1"/>
  <c r="H2176" i="1"/>
  <c r="G2176" i="1"/>
  <c r="F2176" i="1"/>
  <c r="B2176" i="1"/>
  <c r="S154" i="1"/>
  <c r="Q154" i="1"/>
  <c r="O154" i="1"/>
  <c r="E154" i="1"/>
  <c r="B154" i="1"/>
  <c r="S155" i="1"/>
  <c r="Q155" i="1"/>
  <c r="O155" i="1"/>
  <c r="E155" i="1"/>
  <c r="B155" i="1"/>
  <c r="S2145" i="1"/>
  <c r="Q2145" i="1"/>
  <c r="O2145" i="1"/>
  <c r="E2145" i="1"/>
  <c r="B2145" i="1"/>
  <c r="S144" i="1"/>
  <c r="Q144" i="1"/>
  <c r="O144" i="1"/>
  <c r="E144" i="1"/>
  <c r="B144" i="1"/>
  <c r="S142" i="1"/>
  <c r="Q142" i="1"/>
  <c r="E142" i="1"/>
  <c r="D142" i="1" s="1"/>
  <c r="B142" i="1"/>
  <c r="S2138" i="1"/>
  <c r="Q2138" i="1"/>
  <c r="O2138" i="1"/>
  <c r="E2138" i="1"/>
  <c r="B2138" i="1"/>
  <c r="S134" i="1"/>
  <c r="Q134" i="1"/>
  <c r="O134" i="1"/>
  <c r="E134" i="1"/>
  <c r="B134" i="1"/>
  <c r="S2116" i="1"/>
  <c r="Q2116" i="1"/>
  <c r="O2116" i="1"/>
  <c r="E2116" i="1"/>
  <c r="B2116" i="1"/>
  <c r="S2117" i="1"/>
  <c r="Q2117" i="1"/>
  <c r="O2117" i="1"/>
  <c r="E2117" i="1"/>
  <c r="B2117" i="1"/>
  <c r="S103" i="1"/>
  <c r="Q103" i="1"/>
  <c r="O103" i="1"/>
  <c r="E103" i="1"/>
  <c r="D103" i="1" s="1"/>
  <c r="B103" i="1"/>
  <c r="S124" i="1"/>
  <c r="Q124" i="1"/>
  <c r="O124" i="1"/>
  <c r="E124" i="1"/>
  <c r="B124" i="1"/>
  <c r="S2112" i="1"/>
  <c r="Q2112" i="1"/>
  <c r="O2112" i="1"/>
  <c r="E2112" i="1"/>
  <c r="B2112" i="1"/>
  <c r="S123" i="1"/>
  <c r="Q123" i="1"/>
  <c r="E123" i="1"/>
  <c r="B123" i="1"/>
  <c r="S118" i="1"/>
  <c r="Q118" i="1"/>
  <c r="O118" i="1"/>
  <c r="E118" i="1"/>
  <c r="B118" i="1"/>
  <c r="S116" i="1"/>
  <c r="Q116" i="1"/>
  <c r="O116" i="1"/>
  <c r="E116" i="1"/>
  <c r="D116" i="1" s="1"/>
  <c r="B116" i="1"/>
  <c r="S2110" i="1"/>
  <c r="Q2110" i="1"/>
  <c r="O2110" i="1"/>
  <c r="E2110" i="1"/>
  <c r="B2110" i="1"/>
  <c r="S122" i="1"/>
  <c r="Q122" i="1"/>
  <c r="O122" i="1"/>
  <c r="E122" i="1"/>
  <c r="B122" i="1"/>
  <c r="S120" i="1"/>
  <c r="Q120" i="1"/>
  <c r="O120" i="1"/>
  <c r="E120" i="1"/>
  <c r="B120" i="1"/>
  <c r="S119" i="1"/>
  <c r="Q119" i="1"/>
  <c r="O119" i="1"/>
  <c r="E119" i="1"/>
  <c r="D119" i="1" s="1"/>
  <c r="B119" i="1"/>
  <c r="S2109" i="1"/>
  <c r="Q2109" i="1"/>
  <c r="O2109" i="1"/>
  <c r="E2109" i="1"/>
  <c r="B2109" i="1"/>
  <c r="S2108" i="1"/>
  <c r="Q2108" i="1"/>
  <c r="O2108" i="1"/>
  <c r="E2108" i="1"/>
  <c r="B2108" i="1"/>
  <c r="S2107" i="1"/>
  <c r="Q2107" i="1"/>
  <c r="O2107" i="1"/>
  <c r="E2107" i="1"/>
  <c r="B2107" i="1"/>
  <c r="S121" i="1"/>
  <c r="Q121" i="1"/>
  <c r="O121" i="1"/>
  <c r="E121" i="1"/>
  <c r="B121" i="1"/>
  <c r="S117" i="1"/>
  <c r="Q117" i="1"/>
  <c r="O117" i="1"/>
  <c r="E117" i="1"/>
  <c r="B117" i="1"/>
  <c r="S114" i="1"/>
  <c r="Q114" i="1"/>
  <c r="O114" i="1"/>
  <c r="E114" i="1"/>
  <c r="B114" i="1"/>
  <c r="S2105" i="1"/>
  <c r="Q2105" i="1"/>
  <c r="O2105" i="1"/>
  <c r="E2105" i="1"/>
  <c r="B2105" i="1"/>
  <c r="S115" i="1"/>
  <c r="Q115" i="1"/>
  <c r="E115" i="1"/>
  <c r="B115" i="1"/>
  <c r="S99" i="1"/>
  <c r="Q99" i="1"/>
  <c r="E99" i="1"/>
  <c r="B99" i="1"/>
  <c r="S86" i="1"/>
  <c r="Q86" i="1"/>
  <c r="E86" i="1"/>
  <c r="B86" i="1"/>
  <c r="S2066" i="1"/>
  <c r="Q2066" i="1"/>
  <c r="E2066" i="1"/>
  <c r="D2066" i="1" s="1"/>
  <c r="B2066" i="1"/>
  <c r="S83" i="1"/>
  <c r="Q83" i="1"/>
  <c r="E83" i="1"/>
  <c r="A83" i="1"/>
  <c r="B83" i="1" s="1"/>
  <c r="S2067" i="1"/>
  <c r="Q2067" i="1"/>
  <c r="E2067" i="1"/>
  <c r="B2067" i="1"/>
  <c r="A85" i="1"/>
  <c r="A82" i="1"/>
  <c r="B82" i="1" s="1"/>
  <c r="S82" i="1"/>
  <c r="Q82" i="1"/>
  <c r="Q81" i="1" s="1"/>
  <c r="E82" i="1"/>
  <c r="D206" i="1" l="1"/>
  <c r="D2067" i="1"/>
  <c r="D86" i="1"/>
  <c r="D2138" i="1"/>
  <c r="D99" i="1"/>
  <c r="D121" i="1"/>
  <c r="D154" i="1"/>
  <c r="D83" i="1"/>
  <c r="D82" i="1"/>
  <c r="D117" i="1"/>
  <c r="D2109" i="1"/>
  <c r="D2110" i="1"/>
  <c r="D124" i="1"/>
  <c r="D134" i="1"/>
  <c r="D155" i="1"/>
  <c r="D2191" i="1"/>
  <c r="D178" i="1"/>
  <c r="D171" i="1"/>
  <c r="D170" i="1"/>
  <c r="D115" i="1"/>
  <c r="D2105" i="1"/>
  <c r="D2107" i="1"/>
  <c r="D120" i="1"/>
  <c r="D118" i="1"/>
  <c r="D2117" i="1"/>
  <c r="D144" i="1"/>
  <c r="D114" i="1"/>
  <c r="D2108" i="1"/>
  <c r="D122" i="1"/>
  <c r="D123" i="1"/>
  <c r="D2112" i="1"/>
  <c r="D2116" i="1"/>
  <c r="D2145" i="1"/>
  <c r="D2190" i="1"/>
  <c r="S81" i="1"/>
  <c r="E153" i="1"/>
  <c r="O153" i="1"/>
  <c r="Q153" i="1"/>
  <c r="E81" i="1"/>
  <c r="S153" i="1"/>
  <c r="E2176" i="1"/>
  <c r="D2176" i="1" s="1"/>
  <c r="D153" i="1"/>
  <c r="S80" i="1"/>
  <c r="Q80" i="1"/>
  <c r="E80" i="1"/>
  <c r="A80" i="1"/>
  <c r="B80" i="1" s="1"/>
  <c r="A78" i="1"/>
  <c r="B78" i="1" s="1"/>
  <c r="S78" i="1"/>
  <c r="Q78" i="1"/>
  <c r="E78" i="1"/>
  <c r="S2063" i="1"/>
  <c r="Q2063" i="1"/>
  <c r="E2063" i="1"/>
  <c r="D2063" i="1" s="1"/>
  <c r="B2063" i="1"/>
  <c r="S2062" i="1"/>
  <c r="Q2062" i="1"/>
  <c r="E2062" i="1"/>
  <c r="B2062" i="1"/>
  <c r="S2064" i="1"/>
  <c r="Q2064" i="1"/>
  <c r="E2064" i="1"/>
  <c r="B2064" i="1"/>
  <c r="S2059" i="1"/>
  <c r="Q2059" i="1"/>
  <c r="E2059" i="1"/>
  <c r="D2059" i="1" s="1"/>
  <c r="B2059" i="1"/>
  <c r="Q70" i="1"/>
  <c r="E70" i="1"/>
  <c r="D70" i="1" s="1"/>
  <c r="B70" i="1"/>
  <c r="S2032" i="1"/>
  <c r="Q2032" i="1"/>
  <c r="E2032" i="1"/>
  <c r="B2032" i="1"/>
  <c r="S2047" i="1"/>
  <c r="Q2047" i="1"/>
  <c r="E2047" i="1"/>
  <c r="D2047" i="1" s="1"/>
  <c r="B2047" i="1"/>
  <c r="S2045" i="1"/>
  <c r="Q2045" i="1"/>
  <c r="J2045" i="1"/>
  <c r="H2045" i="1"/>
  <c r="F2045" i="1"/>
  <c r="B2045" i="1"/>
  <c r="B71" i="1"/>
  <c r="Q71" i="1"/>
  <c r="E71" i="1"/>
  <c r="Q2041" i="1"/>
  <c r="E2041" i="1"/>
  <c r="D2041" i="1" s="1"/>
  <c r="B2041" i="1"/>
  <c r="S2039" i="1"/>
  <c r="Q2039" i="1"/>
  <c r="E2039" i="1"/>
  <c r="D2039" i="1" s="1"/>
  <c r="B2039" i="1"/>
  <c r="S2037" i="1"/>
  <c r="Q2037" i="1"/>
  <c r="E2037" i="1"/>
  <c r="B2037" i="1"/>
  <c r="S2021" i="1"/>
  <c r="Q2021" i="1"/>
  <c r="E2021" i="1"/>
  <c r="D2021" i="1" s="1"/>
  <c r="B2021" i="1"/>
  <c r="S2017" i="1"/>
  <c r="Q2017" i="1"/>
  <c r="E2017" i="1"/>
  <c r="D2017" i="1" s="1"/>
  <c r="B2017" i="1"/>
  <c r="B65" i="1"/>
  <c r="S65" i="1"/>
  <c r="Q65" i="1"/>
  <c r="E65" i="1"/>
  <c r="S2013" i="1"/>
  <c r="Q2013" i="1"/>
  <c r="O2013" i="1"/>
  <c r="E2013" i="1"/>
  <c r="B2013" i="1"/>
  <c r="S64" i="1"/>
  <c r="Q64" i="1"/>
  <c r="M64" i="1"/>
  <c r="E64" i="1"/>
  <c r="B64" i="1"/>
  <c r="O2008" i="1"/>
  <c r="S2009" i="1"/>
  <c r="E2009" i="1"/>
  <c r="B2009" i="1"/>
  <c r="S2004" i="1"/>
  <c r="Q2004" i="1"/>
  <c r="E2004" i="1"/>
  <c r="B2004" i="1"/>
  <c r="S2003" i="1"/>
  <c r="Q2003" i="1"/>
  <c r="O2003" i="1"/>
  <c r="E2003" i="1"/>
  <c r="B2003" i="1"/>
  <c r="S1999" i="1"/>
  <c r="Q1999" i="1"/>
  <c r="O1999" i="1"/>
  <c r="E1999" i="1"/>
  <c r="B1999" i="1"/>
  <c r="S2000" i="1"/>
  <c r="Q2000" i="1"/>
  <c r="O2000" i="1"/>
  <c r="E2000" i="1"/>
  <c r="B2000" i="1"/>
  <c r="S1980" i="1"/>
  <c r="Q1980" i="1"/>
  <c r="O1980" i="1"/>
  <c r="E1980" i="1"/>
  <c r="B1980" i="1"/>
  <c r="S1981" i="1"/>
  <c r="Q1981" i="1"/>
  <c r="O1981" i="1"/>
  <c r="E1981" i="1"/>
  <c r="B1981" i="1"/>
  <c r="S2001" i="1"/>
  <c r="Q2001" i="1"/>
  <c r="O2001" i="1"/>
  <c r="E2001" i="1"/>
  <c r="B2001" i="1"/>
  <c r="S1976" i="1"/>
  <c r="Q1976" i="1"/>
  <c r="O1976" i="1"/>
  <c r="E1976" i="1"/>
  <c r="B1976" i="1"/>
  <c r="A53" i="1"/>
  <c r="B53" i="1" s="1"/>
  <c r="S53" i="1"/>
  <c r="Q53" i="1"/>
  <c r="E53" i="1"/>
  <c r="G1973" i="1"/>
  <c r="S1993" i="1"/>
  <c r="Q1993" i="1"/>
  <c r="O1993" i="1"/>
  <c r="E1993" i="1"/>
  <c r="B1993" i="1"/>
  <c r="S1992" i="1"/>
  <c r="Q1992" i="1"/>
  <c r="O1992" i="1"/>
  <c r="E1992" i="1"/>
  <c r="D1992" i="1" s="1"/>
  <c r="B1992" i="1"/>
  <c r="S1987" i="1"/>
  <c r="Q1987" i="1"/>
  <c r="O1987" i="1"/>
  <c r="E1987" i="1"/>
  <c r="B1987" i="1"/>
  <c r="S1978" i="1"/>
  <c r="Q1978" i="1"/>
  <c r="O1978" i="1"/>
  <c r="J1978" i="1"/>
  <c r="H1978" i="1"/>
  <c r="G1978" i="1"/>
  <c r="F1978" i="1"/>
  <c r="B1978" i="1"/>
  <c r="A52" i="1"/>
  <c r="B52" i="1" s="1"/>
  <c r="S52" i="1"/>
  <c r="Q52" i="1"/>
  <c r="E52" i="1"/>
  <c r="S1969" i="1"/>
  <c r="Q1969" i="1"/>
  <c r="O1969" i="1"/>
  <c r="E1969" i="1"/>
  <c r="B1969" i="1"/>
  <c r="S1961" i="1"/>
  <c r="Q1961" i="1"/>
  <c r="O1961" i="1"/>
  <c r="E1961" i="1"/>
  <c r="B1961" i="1"/>
  <c r="S1956" i="1"/>
  <c r="Q1956" i="1"/>
  <c r="O1956" i="1"/>
  <c r="E1956" i="1"/>
  <c r="B1956" i="1"/>
  <c r="S1957" i="1"/>
  <c r="Q1957" i="1"/>
  <c r="O1957" i="1"/>
  <c r="E1957" i="1"/>
  <c r="B1957" i="1"/>
  <c r="S1955" i="1"/>
  <c r="Q1955" i="1"/>
  <c r="O1955" i="1"/>
  <c r="E1955" i="1"/>
  <c r="B1955" i="1"/>
  <c r="S1958" i="1"/>
  <c r="Q1958" i="1"/>
  <c r="O1958" i="1"/>
  <c r="E1958" i="1"/>
  <c r="B1958" i="1"/>
  <c r="S1952" i="1"/>
  <c r="Q1952" i="1"/>
  <c r="O1952" i="1"/>
  <c r="E1952" i="1"/>
  <c r="D1952" i="1" s="1"/>
  <c r="B1952" i="1"/>
  <c r="S1948" i="1"/>
  <c r="Q1948" i="1"/>
  <c r="O1948" i="1"/>
  <c r="E1948" i="1"/>
  <c r="B1948" i="1"/>
  <c r="S1942" i="1"/>
  <c r="Q1942" i="1"/>
  <c r="O1942" i="1"/>
  <c r="E1942" i="1"/>
  <c r="B1942" i="1"/>
  <c r="S1941" i="1"/>
  <c r="Q1941" i="1"/>
  <c r="O1941" i="1"/>
  <c r="E1941" i="1"/>
  <c r="B1941" i="1"/>
  <c r="S1932" i="1"/>
  <c r="Q1932" i="1"/>
  <c r="O1932" i="1"/>
  <c r="E1932" i="1"/>
  <c r="B1932" i="1"/>
  <c r="S1933" i="1"/>
  <c r="Q1933" i="1"/>
  <c r="O1933" i="1"/>
  <c r="E1933" i="1"/>
  <c r="B1933" i="1"/>
  <c r="D2001" i="1" l="1"/>
  <c r="D2037" i="1"/>
  <c r="D2064" i="1"/>
  <c r="D2062" i="1"/>
  <c r="D80" i="1"/>
  <c r="D1956" i="1"/>
  <c r="D1999" i="1"/>
  <c r="D78" i="1"/>
  <c r="D2032" i="1"/>
  <c r="D1932" i="1"/>
  <c r="D1941" i="1"/>
  <c r="D1958" i="1"/>
  <c r="D1961" i="1"/>
  <c r="D1993" i="1"/>
  <c r="D1981" i="1"/>
  <c r="D2003" i="1"/>
  <c r="D1942" i="1"/>
  <c r="D1955" i="1"/>
  <c r="D1969" i="1"/>
  <c r="D52" i="1"/>
  <c r="D53" i="1"/>
  <c r="D1980" i="1"/>
  <c r="D2004" i="1"/>
  <c r="D2009" i="1"/>
  <c r="D64" i="1"/>
  <c r="D71" i="1"/>
  <c r="D1933" i="1"/>
  <c r="D1948" i="1"/>
  <c r="D1957" i="1"/>
  <c r="D1987" i="1"/>
  <c r="D1976" i="1"/>
  <c r="D2000" i="1"/>
  <c r="D2013" i="1"/>
  <c r="D65" i="1"/>
  <c r="D81" i="1"/>
  <c r="E1978" i="1"/>
  <c r="D1978" i="1" s="1"/>
  <c r="E2045" i="1"/>
  <c r="D2045" i="1" s="1"/>
  <c r="S1928" i="1" l="1"/>
  <c r="Q1928" i="1"/>
  <c r="O1928" i="1"/>
  <c r="E1928" i="1"/>
  <c r="D1928" i="1" s="1"/>
  <c r="B1928" i="1"/>
  <c r="S1926" i="1"/>
  <c r="Q1926" i="1"/>
  <c r="E1926" i="1"/>
  <c r="D1926" i="1" s="1"/>
  <c r="B1926" i="1"/>
  <c r="S1925" i="1"/>
  <c r="Q1925" i="1"/>
  <c r="E1925" i="1"/>
  <c r="D1925" i="1" s="1"/>
  <c r="B1925" i="1"/>
  <c r="S28" i="1"/>
  <c r="Q28" i="1"/>
  <c r="M28" i="1"/>
  <c r="E28" i="1"/>
  <c r="A28" i="1"/>
  <c r="B28" i="1" s="1"/>
  <c r="D28" i="1" l="1"/>
  <c r="S1920" i="1"/>
  <c r="Q1920" i="1"/>
  <c r="M1920" i="1"/>
  <c r="E1920" i="1"/>
  <c r="B1920" i="1"/>
  <c r="D1920" i="1" l="1"/>
  <c r="S27" i="1"/>
  <c r="Q27" i="1"/>
  <c r="M27" i="1"/>
  <c r="E27" i="1"/>
  <c r="D27" i="1" s="1"/>
  <c r="A27" i="1"/>
  <c r="B27" i="1" s="1"/>
  <c r="S1919" i="1"/>
  <c r="Q1919" i="1"/>
  <c r="E1919" i="1"/>
  <c r="D1919" i="1" s="1"/>
  <c r="B1919" i="1"/>
  <c r="E1915" i="1"/>
  <c r="D1915" i="1" s="1"/>
  <c r="B1915" i="1"/>
  <c r="S1899" i="1"/>
  <c r="Q1899" i="1"/>
  <c r="E1899" i="1"/>
  <c r="D1899" i="1" s="1"/>
  <c r="B1899" i="1"/>
  <c r="S1241" i="1" l="1"/>
  <c r="Q1241" i="1"/>
  <c r="O1241" i="1"/>
  <c r="E1241" i="1"/>
  <c r="D1241" i="1" s="1"/>
  <c r="B1241" i="1"/>
  <c r="A12" i="1" l="1"/>
  <c r="B12" i="1" s="1"/>
  <c r="S12" i="1"/>
  <c r="Q12" i="1"/>
  <c r="M12" i="1"/>
  <c r="E12" i="1"/>
  <c r="D12" i="1" s="1"/>
  <c r="E13" i="1"/>
  <c r="S2579" i="1" l="1"/>
  <c r="Q2579" i="1"/>
  <c r="M2579" i="1"/>
  <c r="E2579" i="1"/>
  <c r="D2579" i="1" s="1"/>
  <c r="B2579" i="1"/>
  <c r="S2556" i="1"/>
  <c r="Q2556" i="1"/>
  <c r="M2556" i="1"/>
  <c r="E2556" i="1"/>
  <c r="B2556" i="1"/>
  <c r="S2555" i="1"/>
  <c r="Q2555" i="1"/>
  <c r="M2555" i="1"/>
  <c r="E2555" i="1"/>
  <c r="B2555" i="1"/>
  <c r="S2554" i="1"/>
  <c r="Q2554" i="1"/>
  <c r="M2554" i="1"/>
  <c r="E2554" i="1"/>
  <c r="B2554" i="1"/>
  <c r="S2541" i="1"/>
  <c r="Q2541" i="1"/>
  <c r="M2541" i="1"/>
  <c r="E2541" i="1"/>
  <c r="B2541" i="1"/>
  <c r="S2531" i="1"/>
  <c r="Q2531" i="1"/>
  <c r="M2531" i="1"/>
  <c r="E2531" i="1"/>
  <c r="B2531" i="1"/>
  <c r="S2521" i="1"/>
  <c r="Q2521" i="1"/>
  <c r="M2521" i="1"/>
  <c r="E2521" i="1"/>
  <c r="B2521" i="1"/>
  <c r="S2512" i="1"/>
  <c r="Q2512" i="1"/>
  <c r="M2512" i="1"/>
  <c r="E2512" i="1"/>
  <c r="B2512" i="1"/>
  <c r="S2465" i="1"/>
  <c r="Q2465" i="1"/>
  <c r="M2465" i="1"/>
  <c r="E2465" i="1"/>
  <c r="D2465" i="1" s="1"/>
  <c r="B2465" i="1"/>
  <c r="S2466" i="1"/>
  <c r="Q2466" i="1"/>
  <c r="M2466" i="1"/>
  <c r="E2466" i="1"/>
  <c r="B2466" i="1"/>
  <c r="S2455" i="1"/>
  <c r="Q2455" i="1"/>
  <c r="M2455" i="1"/>
  <c r="E2455" i="1"/>
  <c r="B2455" i="1"/>
  <c r="S2449" i="1"/>
  <c r="Q2449" i="1"/>
  <c r="M2449" i="1"/>
  <c r="E2449" i="1"/>
  <c r="B2449" i="1"/>
  <c r="S2441" i="1"/>
  <c r="Q2441" i="1"/>
  <c r="M2441" i="1"/>
  <c r="E2441" i="1"/>
  <c r="D2441" i="1" s="1"/>
  <c r="B2441" i="1"/>
  <c r="S2434" i="1"/>
  <c r="Q2434" i="1"/>
  <c r="M2434" i="1"/>
  <c r="E2434" i="1"/>
  <c r="B2434" i="1"/>
  <c r="M2418" i="1"/>
  <c r="S1602" i="1"/>
  <c r="Q1602" i="1"/>
  <c r="M1602" i="1"/>
  <c r="E1602" i="1"/>
  <c r="B1602" i="1"/>
  <c r="M2414" i="1"/>
  <c r="S2400" i="1"/>
  <c r="Q2400" i="1"/>
  <c r="M2400" i="1"/>
  <c r="E2400" i="1"/>
  <c r="B2400" i="1"/>
  <c r="S2399" i="1"/>
  <c r="Q2399" i="1"/>
  <c r="M2399" i="1"/>
  <c r="E2399" i="1"/>
  <c r="B2399" i="1"/>
  <c r="S2398" i="1"/>
  <c r="Q2398" i="1"/>
  <c r="M2398" i="1"/>
  <c r="E2398" i="1"/>
  <c r="B2398" i="1"/>
  <c r="S2397" i="1"/>
  <c r="Q2397" i="1"/>
  <c r="M2397" i="1"/>
  <c r="E2397" i="1"/>
  <c r="B2397" i="1"/>
  <c r="S2396" i="1"/>
  <c r="Q2396" i="1"/>
  <c r="M2396" i="1"/>
  <c r="E2396" i="1"/>
  <c r="B2396" i="1"/>
  <c r="S2395" i="1"/>
  <c r="Q2395" i="1"/>
  <c r="M2395" i="1"/>
  <c r="E2395" i="1"/>
  <c r="B2395" i="1"/>
  <c r="S2382" i="1"/>
  <c r="Q2382" i="1"/>
  <c r="M2382" i="1"/>
  <c r="E2382" i="1"/>
  <c r="B2382" i="1"/>
  <c r="S1562" i="1"/>
  <c r="Q1562" i="1"/>
  <c r="M1562" i="1"/>
  <c r="E1562" i="1"/>
  <c r="B1562" i="1"/>
  <c r="S2371" i="1"/>
  <c r="Q2371" i="1"/>
  <c r="M2371" i="1"/>
  <c r="E2371" i="1"/>
  <c r="B2371" i="1"/>
  <c r="S2379" i="1"/>
  <c r="Q2379" i="1"/>
  <c r="M2379" i="1"/>
  <c r="E2379" i="1"/>
  <c r="B2379" i="1"/>
  <c r="S1569" i="1"/>
  <c r="Q1569" i="1"/>
  <c r="M1569" i="1"/>
  <c r="E1569" i="1"/>
  <c r="D1569" i="1" s="1"/>
  <c r="B1569" i="1"/>
  <c r="S1568" i="1"/>
  <c r="Q1568" i="1"/>
  <c r="M1568" i="1"/>
  <c r="E1568" i="1"/>
  <c r="B1568" i="1"/>
  <c r="S1567" i="1"/>
  <c r="Q1567" i="1"/>
  <c r="M1567" i="1"/>
  <c r="E1567" i="1"/>
  <c r="B1567" i="1"/>
  <c r="S1566" i="1"/>
  <c r="Q1566" i="1"/>
  <c r="M1566" i="1"/>
  <c r="E1566" i="1"/>
  <c r="B1566" i="1"/>
  <c r="S1545" i="1"/>
  <c r="Q1545" i="1"/>
  <c r="M1545" i="1"/>
  <c r="E1545" i="1"/>
  <c r="D1545" i="1" s="1"/>
  <c r="B1545" i="1"/>
  <c r="S1544" i="1"/>
  <c r="Q1544" i="1"/>
  <c r="M1544" i="1"/>
  <c r="E1544" i="1"/>
  <c r="B1544" i="1"/>
  <c r="S1535" i="1"/>
  <c r="Q1535" i="1"/>
  <c r="M1535" i="1"/>
  <c r="E1535" i="1"/>
  <c r="B1535" i="1"/>
  <c r="S2088" i="1"/>
  <c r="Q2088" i="1"/>
  <c r="M2088" i="1"/>
  <c r="E2088" i="1"/>
  <c r="B2088" i="1"/>
  <c r="S2087" i="1"/>
  <c r="Q2087" i="1"/>
  <c r="M2087" i="1"/>
  <c r="E2087" i="1"/>
  <c r="B2087" i="1"/>
  <c r="S2095" i="1"/>
  <c r="Q2095" i="1"/>
  <c r="M2095" i="1"/>
  <c r="E2095" i="1"/>
  <c r="B2095" i="1"/>
  <c r="S2085" i="1"/>
  <c r="Q2085" i="1"/>
  <c r="M2085" i="1"/>
  <c r="E2085" i="1"/>
  <c r="B2085" i="1"/>
  <c r="S2093" i="1"/>
  <c r="Q2093" i="1"/>
  <c r="M2093" i="1"/>
  <c r="E2093" i="1"/>
  <c r="D2093" i="1" s="1"/>
  <c r="B2093" i="1"/>
  <c r="S2092" i="1"/>
  <c r="Q2092" i="1"/>
  <c r="M2092" i="1"/>
  <c r="E2092" i="1"/>
  <c r="B2092" i="1"/>
  <c r="S2091" i="1"/>
  <c r="Q2091" i="1"/>
  <c r="M2091" i="1"/>
  <c r="E2091" i="1"/>
  <c r="B2091" i="1"/>
  <c r="S2090" i="1"/>
  <c r="Q2090" i="1"/>
  <c r="M2090" i="1"/>
  <c r="E2090" i="1"/>
  <c r="B2090" i="1"/>
  <c r="S2074" i="1"/>
  <c r="Q2074" i="1"/>
  <c r="M2074" i="1"/>
  <c r="E2074" i="1"/>
  <c r="B2074" i="1"/>
  <c r="S2070" i="1"/>
  <c r="Q2070" i="1"/>
  <c r="M2070" i="1"/>
  <c r="E2070" i="1"/>
  <c r="B2070" i="1"/>
  <c r="S2071" i="1"/>
  <c r="Q2071" i="1"/>
  <c r="M2071" i="1"/>
  <c r="E2071" i="1"/>
  <c r="B2071" i="1"/>
  <c r="S2072" i="1"/>
  <c r="Q2072" i="1"/>
  <c r="M2072" i="1"/>
  <c r="E2072" i="1"/>
  <c r="B2072" i="1"/>
  <c r="S2073" i="1"/>
  <c r="Q2073" i="1"/>
  <c r="M2073" i="1"/>
  <c r="E2073" i="1"/>
  <c r="B2073" i="1"/>
  <c r="S2069" i="1"/>
  <c r="Q2069" i="1"/>
  <c r="M2069" i="1"/>
  <c r="E2069" i="1"/>
  <c r="B2069" i="1"/>
  <c r="S2075" i="1"/>
  <c r="Q2075" i="1"/>
  <c r="M2075" i="1"/>
  <c r="E2075" i="1"/>
  <c r="B2075" i="1"/>
  <c r="S2082" i="1"/>
  <c r="Q2082" i="1"/>
  <c r="M2082" i="1"/>
  <c r="E2082" i="1"/>
  <c r="B2082" i="1"/>
  <c r="S2081" i="1"/>
  <c r="Q2081" i="1"/>
  <c r="M2081" i="1"/>
  <c r="E2081" i="1"/>
  <c r="D2081" i="1" s="1"/>
  <c r="B2081" i="1"/>
  <c r="S2080" i="1"/>
  <c r="Q2080" i="1"/>
  <c r="M2080" i="1"/>
  <c r="E2080" i="1"/>
  <c r="B2080" i="1"/>
  <c r="S1312" i="1"/>
  <c r="Q1312" i="1"/>
  <c r="M1312" i="1"/>
  <c r="E1312" i="1"/>
  <c r="B1312" i="1"/>
  <c r="S2079" i="1"/>
  <c r="Q2079" i="1"/>
  <c r="M2079" i="1"/>
  <c r="E2079" i="1"/>
  <c r="B2079" i="1"/>
  <c r="S2078" i="1"/>
  <c r="Q2078" i="1"/>
  <c r="M2078" i="1"/>
  <c r="E2078" i="1"/>
  <c r="B2078" i="1"/>
  <c r="S2077" i="1"/>
  <c r="Q2077" i="1"/>
  <c r="M2077" i="1"/>
  <c r="E2077" i="1"/>
  <c r="B2077" i="1"/>
  <c r="S2076" i="1"/>
  <c r="Q2076" i="1"/>
  <c r="M2076" i="1"/>
  <c r="E2076" i="1"/>
  <c r="B2076" i="1"/>
  <c r="S1322" i="1"/>
  <c r="Q1322" i="1"/>
  <c r="M1322" i="1"/>
  <c r="E1322" i="1"/>
  <c r="B1322" i="1"/>
  <c r="S2083" i="1"/>
  <c r="Q2083" i="1"/>
  <c r="M2083" i="1"/>
  <c r="E2083" i="1"/>
  <c r="B2083" i="1"/>
  <c r="S1320" i="1"/>
  <c r="Q1320" i="1"/>
  <c r="M1320" i="1"/>
  <c r="E1320" i="1"/>
  <c r="B1320" i="1"/>
  <c r="S1321" i="1"/>
  <c r="Q1321" i="1"/>
  <c r="M1321" i="1"/>
  <c r="E1321" i="1"/>
  <c r="B1321" i="1"/>
  <c r="S1317" i="1"/>
  <c r="Q1317" i="1"/>
  <c r="M1317" i="1"/>
  <c r="E1317" i="1"/>
  <c r="B1317" i="1"/>
  <c r="S2068" i="1"/>
  <c r="Q2068" i="1"/>
  <c r="M2068" i="1"/>
  <c r="E2068" i="1"/>
  <c r="D2068" i="1" s="1"/>
  <c r="B2068" i="1"/>
  <c r="S2089" i="1"/>
  <c r="Q2089" i="1"/>
  <c r="M2089" i="1"/>
  <c r="E2089" i="1"/>
  <c r="B2089" i="1"/>
  <c r="S2096" i="1"/>
  <c r="Q2096" i="1"/>
  <c r="M2096" i="1"/>
  <c r="E2096" i="1"/>
  <c r="B2096" i="1"/>
  <c r="S2094" i="1"/>
  <c r="Q2094" i="1"/>
  <c r="M2094" i="1"/>
  <c r="E2094" i="1"/>
  <c r="B2094" i="1"/>
  <c r="S2084" i="1"/>
  <c r="Q2084" i="1"/>
  <c r="M2084" i="1"/>
  <c r="E2084" i="1"/>
  <c r="B2084" i="1"/>
  <c r="S2086" i="1"/>
  <c r="Q2086" i="1"/>
  <c r="M2086" i="1"/>
  <c r="E2086" i="1"/>
  <c r="B2086" i="1"/>
  <c r="S1316" i="1"/>
  <c r="Q1316" i="1"/>
  <c r="M1316" i="1"/>
  <c r="E1316" i="1"/>
  <c r="B1316" i="1"/>
  <c r="S1876" i="1"/>
  <c r="Q1876" i="1"/>
  <c r="M1876" i="1"/>
  <c r="E1876" i="1"/>
  <c r="B1876" i="1"/>
  <c r="S1787" i="1"/>
  <c r="Q1787" i="1"/>
  <c r="M1787" i="1"/>
  <c r="E1787" i="1"/>
  <c r="B1787" i="1"/>
  <c r="S1786" i="1"/>
  <c r="Q1786" i="1"/>
  <c r="M1786" i="1"/>
  <c r="E1786" i="1"/>
  <c r="B1786" i="1"/>
  <c r="S1771" i="1"/>
  <c r="Q1771" i="1"/>
  <c r="M1771" i="1"/>
  <c r="E1771" i="1"/>
  <c r="B1771" i="1"/>
  <c r="S1770" i="1"/>
  <c r="Q1770" i="1"/>
  <c r="M1770" i="1"/>
  <c r="E1770" i="1"/>
  <c r="B1770" i="1"/>
  <c r="S1769" i="1"/>
  <c r="Q1769" i="1"/>
  <c r="M1769" i="1"/>
  <c r="E1769" i="1"/>
  <c r="D1769" i="1" s="1"/>
  <c r="B1769" i="1"/>
  <c r="S1755" i="1"/>
  <c r="Q1755" i="1"/>
  <c r="M1755" i="1"/>
  <c r="E1755" i="1"/>
  <c r="B1755" i="1"/>
  <c r="S1754" i="1"/>
  <c r="Q1754" i="1"/>
  <c r="M1754" i="1"/>
  <c r="E1754" i="1"/>
  <c r="B1754" i="1"/>
  <c r="S1753" i="1"/>
  <c r="Q1753" i="1"/>
  <c r="M1753" i="1"/>
  <c r="E1753" i="1"/>
  <c r="B1753" i="1"/>
  <c r="S1733" i="1"/>
  <c r="Q1733" i="1"/>
  <c r="O1733" i="1"/>
  <c r="M1733" i="1"/>
  <c r="E1733" i="1"/>
  <c r="B1733" i="1"/>
  <c r="S1715" i="1"/>
  <c r="Q1715" i="1"/>
  <c r="M1715" i="1"/>
  <c r="E1715" i="1"/>
  <c r="B1715" i="1"/>
  <c r="S1704" i="1"/>
  <c r="Q1704" i="1"/>
  <c r="M1704" i="1"/>
  <c r="E1704" i="1"/>
  <c r="B1704" i="1"/>
  <c r="S1703" i="1"/>
  <c r="Q1703" i="1"/>
  <c r="M1703" i="1"/>
  <c r="E1703" i="1"/>
  <c r="B1703" i="1"/>
  <c r="S1691" i="1"/>
  <c r="Q1691" i="1"/>
  <c r="M1691" i="1"/>
  <c r="E1691" i="1"/>
  <c r="B1691" i="1"/>
  <c r="S1688" i="1"/>
  <c r="Q1688" i="1"/>
  <c r="M1688" i="1"/>
  <c r="E1688" i="1"/>
  <c r="B1688" i="1"/>
  <c r="S1686" i="1"/>
  <c r="Q1686" i="1"/>
  <c r="M1686" i="1"/>
  <c r="E1686" i="1"/>
  <c r="B1686" i="1"/>
  <c r="S1685" i="1"/>
  <c r="Q1685" i="1"/>
  <c r="M1685" i="1"/>
  <c r="E1685" i="1"/>
  <c r="B1685" i="1"/>
  <c r="S1667" i="1"/>
  <c r="Q1667" i="1"/>
  <c r="M1667" i="1"/>
  <c r="E1667" i="1"/>
  <c r="B1667" i="1"/>
  <c r="S1669" i="1"/>
  <c r="Q1669" i="1"/>
  <c r="M1669" i="1"/>
  <c r="E1669" i="1"/>
  <c r="B1669" i="1"/>
  <c r="S1666" i="1"/>
  <c r="Q1666" i="1"/>
  <c r="M1666" i="1"/>
  <c r="E1666" i="1"/>
  <c r="B1666" i="1"/>
  <c r="S1665" i="1"/>
  <c r="Q1665" i="1"/>
  <c r="M1665" i="1"/>
  <c r="E1665" i="1"/>
  <c r="B1665" i="1"/>
  <c r="S2467" i="1"/>
  <c r="Q2467" i="1"/>
  <c r="M2467" i="1"/>
  <c r="E2467" i="1"/>
  <c r="B2467" i="1"/>
  <c r="S1643" i="1"/>
  <c r="Q1643" i="1"/>
  <c r="M1643" i="1"/>
  <c r="E1643" i="1"/>
  <c r="B1643" i="1"/>
  <c r="S1596" i="1"/>
  <c r="Q1596" i="1"/>
  <c r="M1596" i="1"/>
  <c r="E1596" i="1"/>
  <c r="B1596" i="1"/>
  <c r="S1576" i="1"/>
  <c r="Q1576" i="1"/>
  <c r="M1576" i="1"/>
  <c r="E1576" i="1"/>
  <c r="B1576" i="1"/>
  <c r="S1571" i="1"/>
  <c r="Q1571" i="1"/>
  <c r="M1571" i="1"/>
  <c r="E1571" i="1"/>
  <c r="B1571" i="1"/>
  <c r="S1563" i="1"/>
  <c r="Q1563" i="1"/>
  <c r="M1563" i="1"/>
  <c r="E1563" i="1"/>
  <c r="D1563" i="1" s="1"/>
  <c r="B1563" i="1"/>
  <c r="B1483" i="1"/>
  <c r="S1483" i="1"/>
  <c r="Q1483" i="1"/>
  <c r="M1483" i="1"/>
  <c r="M1470" i="1" s="1"/>
  <c r="E1483" i="1"/>
  <c r="B1405" i="1"/>
  <c r="B1406" i="1"/>
  <c r="S1405" i="1"/>
  <c r="Q1405" i="1"/>
  <c r="M1405" i="1"/>
  <c r="M1404" i="1" s="1"/>
  <c r="E1405" i="1"/>
  <c r="G1406" i="1"/>
  <c r="H1406" i="1"/>
  <c r="I1406" i="1"/>
  <c r="J1406" i="1"/>
  <c r="Q1406" i="1"/>
  <c r="S1406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3" i="1"/>
  <c r="B1314" i="1"/>
  <c r="B1315" i="1"/>
  <c r="B1318" i="1"/>
  <c r="B1319" i="1"/>
  <c r="B1297" i="1"/>
  <c r="S1314" i="1"/>
  <c r="Q1314" i="1"/>
  <c r="M1314" i="1"/>
  <c r="E1314" i="1"/>
  <c r="S1318" i="1"/>
  <c r="Q1318" i="1"/>
  <c r="M1318" i="1"/>
  <c r="E1318" i="1"/>
  <c r="S1315" i="1"/>
  <c r="Q1315" i="1"/>
  <c r="M1315" i="1"/>
  <c r="E1315" i="1"/>
  <c r="S1313" i="1"/>
  <c r="Q1313" i="1"/>
  <c r="M1313" i="1"/>
  <c r="E1313" i="1"/>
  <c r="S1297" i="1"/>
  <c r="Q1297" i="1"/>
  <c r="M1297" i="1"/>
  <c r="E1297" i="1"/>
  <c r="S1298" i="1"/>
  <c r="Q1298" i="1"/>
  <c r="M1298" i="1"/>
  <c r="E1298" i="1"/>
  <c r="S1299" i="1"/>
  <c r="Q1299" i="1"/>
  <c r="M1299" i="1"/>
  <c r="E1299" i="1"/>
  <c r="S1300" i="1"/>
  <c r="Q1300" i="1"/>
  <c r="M1300" i="1"/>
  <c r="E1300" i="1"/>
  <c r="S1311" i="1"/>
  <c r="Q1311" i="1"/>
  <c r="M1311" i="1"/>
  <c r="E1311" i="1"/>
  <c r="D1311" i="1" s="1"/>
  <c r="S1310" i="1"/>
  <c r="Q1310" i="1"/>
  <c r="M1310" i="1"/>
  <c r="E1310" i="1"/>
  <c r="S1309" i="1"/>
  <c r="Q1309" i="1"/>
  <c r="M1309" i="1"/>
  <c r="E1309" i="1"/>
  <c r="S1308" i="1"/>
  <c r="Q1308" i="1"/>
  <c r="M1308" i="1"/>
  <c r="E1308" i="1"/>
  <c r="D1308" i="1" s="1"/>
  <c r="S1307" i="1"/>
  <c r="Q1307" i="1"/>
  <c r="M1307" i="1"/>
  <c r="E1307" i="1"/>
  <c r="S1306" i="1"/>
  <c r="Q1306" i="1"/>
  <c r="M1306" i="1"/>
  <c r="E1306" i="1"/>
  <c r="S1305" i="1"/>
  <c r="Q1305" i="1"/>
  <c r="M1305" i="1"/>
  <c r="E1305" i="1"/>
  <c r="D1305" i="1" s="1"/>
  <c r="S1303" i="1"/>
  <c r="Q1303" i="1"/>
  <c r="M1303" i="1"/>
  <c r="E1303" i="1"/>
  <c r="S1302" i="1"/>
  <c r="Q1302" i="1"/>
  <c r="M1302" i="1"/>
  <c r="E1302" i="1"/>
  <c r="S1304" i="1"/>
  <c r="Q1304" i="1"/>
  <c r="M1304" i="1"/>
  <c r="E1304" i="1"/>
  <c r="D1304" i="1" s="1"/>
  <c r="S1301" i="1"/>
  <c r="Q1301" i="1"/>
  <c r="M1301" i="1"/>
  <c r="E1301" i="1"/>
  <c r="S1319" i="1"/>
  <c r="Q1319" i="1"/>
  <c r="M1319" i="1"/>
  <c r="E1319" i="1"/>
  <c r="S1279" i="1"/>
  <c r="Q1279" i="1"/>
  <c r="M1279" i="1"/>
  <c r="M1269" i="1" s="1"/>
  <c r="E1279" i="1"/>
  <c r="D1279" i="1" s="1"/>
  <c r="B1279" i="1"/>
  <c r="S1235" i="1"/>
  <c r="Q1235" i="1"/>
  <c r="M1235" i="1"/>
  <c r="E1235" i="1"/>
  <c r="B1235" i="1"/>
  <c r="S1233" i="1"/>
  <c r="Q1233" i="1"/>
  <c r="M1233" i="1"/>
  <c r="E1233" i="1"/>
  <c r="B1233" i="1"/>
  <c r="S1206" i="1"/>
  <c r="Q1206" i="1"/>
  <c r="M1206" i="1"/>
  <c r="E1206" i="1"/>
  <c r="B1206" i="1"/>
  <c r="D1643" i="1" l="1"/>
  <c r="D1688" i="1"/>
  <c r="D1669" i="1"/>
  <c r="D2541" i="1"/>
  <c r="D1303" i="1"/>
  <c r="D1307" i="1"/>
  <c r="D1310" i="1"/>
  <c r="D1787" i="1"/>
  <c r="D2083" i="1"/>
  <c r="D2073" i="1"/>
  <c r="D2088" i="1"/>
  <c r="D2395" i="1"/>
  <c r="D1301" i="1"/>
  <c r="D1602" i="1"/>
  <c r="D1319" i="1"/>
  <c r="D1309" i="1"/>
  <c r="D2084" i="1"/>
  <c r="D2078" i="1"/>
  <c r="D2074" i="1"/>
  <c r="D2399" i="1"/>
  <c r="D1302" i="1"/>
  <c r="D1306" i="1"/>
  <c r="D1300" i="1"/>
  <c r="D1704" i="1"/>
  <c r="D2371" i="1"/>
  <c r="D1235" i="1"/>
  <c r="D1571" i="1"/>
  <c r="D2467" i="1"/>
  <c r="D1667" i="1"/>
  <c r="D1691" i="1"/>
  <c r="D1733" i="1"/>
  <c r="D1755" i="1"/>
  <c r="D1786" i="1"/>
  <c r="D2086" i="1"/>
  <c r="D2089" i="1"/>
  <c r="D1320" i="1"/>
  <c r="D2077" i="1"/>
  <c r="D2080" i="1"/>
  <c r="D2069" i="1"/>
  <c r="D2070" i="1"/>
  <c r="D2092" i="1"/>
  <c r="D2087" i="1"/>
  <c r="D2382" i="1"/>
  <c r="D2398" i="1"/>
  <c r="D2449" i="1"/>
  <c r="D2512" i="1"/>
  <c r="D2554" i="1"/>
  <c r="D1299" i="1"/>
  <c r="D1298" i="1"/>
  <c r="D1297" i="1"/>
  <c r="D1313" i="1"/>
  <c r="D1315" i="1"/>
  <c r="D1318" i="1"/>
  <c r="D1314" i="1"/>
  <c r="D1483" i="1"/>
  <c r="D1576" i="1"/>
  <c r="D1665" i="1"/>
  <c r="D1685" i="1"/>
  <c r="D1703" i="1"/>
  <c r="D1566" i="1"/>
  <c r="D2379" i="1"/>
  <c r="D2455" i="1"/>
  <c r="D2521" i="1"/>
  <c r="D2555" i="1"/>
  <c r="D1206" i="1"/>
  <c r="D1596" i="1"/>
  <c r="D1666" i="1"/>
  <c r="D1686" i="1"/>
  <c r="D1753" i="1"/>
  <c r="D1770" i="1"/>
  <c r="D1876" i="1"/>
  <c r="D2094" i="1"/>
  <c r="D1317" i="1"/>
  <c r="D1322" i="1"/>
  <c r="D2079" i="1"/>
  <c r="D2082" i="1"/>
  <c r="D2072" i="1"/>
  <c r="D2090" i="1"/>
  <c r="D2085" i="1"/>
  <c r="D1535" i="1"/>
  <c r="D1567" i="1"/>
  <c r="D2396" i="1"/>
  <c r="D2400" i="1"/>
  <c r="D2434" i="1"/>
  <c r="D2466" i="1"/>
  <c r="D2531" i="1"/>
  <c r="D2556" i="1"/>
  <c r="D1233" i="1"/>
  <c r="D1405" i="1"/>
  <c r="D1715" i="1"/>
  <c r="D1754" i="1"/>
  <c r="D1771" i="1"/>
  <c r="D1316" i="1"/>
  <c r="D2096" i="1"/>
  <c r="D1321" i="1"/>
  <c r="D2076" i="1"/>
  <c r="D1312" i="1"/>
  <c r="D2075" i="1"/>
  <c r="D2071" i="1"/>
  <c r="D2091" i="1"/>
  <c r="D2095" i="1"/>
  <c r="D1544" i="1"/>
  <c r="D1568" i="1"/>
  <c r="D1562" i="1"/>
  <c r="D2397" i="1"/>
  <c r="E2065" i="1"/>
  <c r="M2065" i="1"/>
  <c r="Q2065" i="1"/>
  <c r="S2065" i="1"/>
  <c r="E1296" i="1"/>
  <c r="M1296" i="1"/>
  <c r="Q1296" i="1"/>
  <c r="S1296" i="1"/>
  <c r="E1406" i="1"/>
  <c r="D1406" i="1" s="1"/>
  <c r="D1296" i="1" l="1"/>
  <c r="D2065" i="1"/>
  <c r="S1204" i="1"/>
  <c r="Q1204" i="1"/>
  <c r="M1204" i="1"/>
  <c r="E1204" i="1"/>
  <c r="B1204" i="1"/>
  <c r="D1204" i="1" l="1"/>
  <c r="M2592" i="1"/>
  <c r="F2589" i="1"/>
  <c r="S2592" i="1"/>
  <c r="Q2592" i="1"/>
  <c r="E2592" i="1"/>
  <c r="B2592" i="1"/>
  <c r="O1624" i="1"/>
  <c r="S1624" i="1"/>
  <c r="Q1624" i="1"/>
  <c r="E1624" i="1"/>
  <c r="B1624" i="1"/>
  <c r="D1624" i="1" l="1"/>
  <c r="D2592" i="1"/>
  <c r="J816" i="1"/>
  <c r="I816" i="1"/>
  <c r="H816" i="1"/>
  <c r="G816" i="1"/>
  <c r="F816" i="1"/>
  <c r="S816" i="1"/>
  <c r="Q816" i="1"/>
  <c r="M816" i="1"/>
  <c r="B816" i="1"/>
  <c r="J2296" i="1"/>
  <c r="H2296" i="1"/>
  <c r="G2296" i="1"/>
  <c r="F2296" i="1"/>
  <c r="S2296" i="1"/>
  <c r="Q2296" i="1"/>
  <c r="B2296" i="1"/>
  <c r="G2723" i="1"/>
  <c r="E816" i="1" l="1"/>
  <c r="D816" i="1" s="1"/>
  <c r="E2296" i="1"/>
  <c r="D2296" i="1" s="1"/>
  <c r="N2169" i="1"/>
  <c r="N1890" i="1" s="1"/>
  <c r="M1883" i="1" l="1"/>
  <c r="M1881" i="1"/>
  <c r="H1074" i="1"/>
  <c r="H1069" i="1" s="1"/>
  <c r="S1074" i="1"/>
  <c r="Q1074" i="1"/>
  <c r="B1074" i="1"/>
  <c r="M1875" i="1" l="1"/>
  <c r="E1074" i="1"/>
  <c r="D1074" i="1" s="1"/>
  <c r="J1220" i="1"/>
  <c r="H1220" i="1"/>
  <c r="G1220" i="1"/>
  <c r="F1220" i="1"/>
  <c r="O1220" i="1"/>
  <c r="S1220" i="1"/>
  <c r="Q1220" i="1"/>
  <c r="B1220" i="1"/>
  <c r="S238" i="1"/>
  <c r="O238" i="1"/>
  <c r="O169" i="1"/>
  <c r="O168" i="1"/>
  <c r="S2720" i="1"/>
  <c r="Q2720" i="1"/>
  <c r="O2720" i="1"/>
  <c r="J2720" i="1"/>
  <c r="I2720" i="1"/>
  <c r="H2720" i="1"/>
  <c r="G2720" i="1"/>
  <c r="F2720" i="1"/>
  <c r="B2720" i="1"/>
  <c r="J2723" i="1"/>
  <c r="H2723" i="1"/>
  <c r="F2723" i="1"/>
  <c r="S2723" i="1"/>
  <c r="Q2723" i="1"/>
  <c r="O2723" i="1"/>
  <c r="B2723" i="1"/>
  <c r="S2715" i="1"/>
  <c r="Q2715" i="1"/>
  <c r="O2715" i="1"/>
  <c r="E2715" i="1"/>
  <c r="D2715" i="1" s="1"/>
  <c r="B2715" i="1"/>
  <c r="O2706" i="1"/>
  <c r="S2706" i="1"/>
  <c r="Q2706" i="1"/>
  <c r="E2706" i="1"/>
  <c r="B2706" i="1"/>
  <c r="O1059" i="1"/>
  <c r="F1059" i="1"/>
  <c r="J2694" i="1"/>
  <c r="H2694" i="1"/>
  <c r="G2694" i="1"/>
  <c r="F2694" i="1"/>
  <c r="S2694" i="1"/>
  <c r="Q2694" i="1"/>
  <c r="O2694" i="1"/>
  <c r="B2694" i="1"/>
  <c r="O1051" i="1"/>
  <c r="O1045" i="1" s="1"/>
  <c r="F1051" i="1"/>
  <c r="D2706" i="1" l="1"/>
  <c r="E2723" i="1"/>
  <c r="D2723" i="1" s="1"/>
  <c r="E1220" i="1"/>
  <c r="D1220" i="1" s="1"/>
  <c r="E2694" i="1"/>
  <c r="D2694" i="1" s="1"/>
  <c r="E2720" i="1"/>
  <c r="D2720" i="1" s="1"/>
  <c r="S2552" i="1"/>
  <c r="Q2552" i="1"/>
  <c r="O2552" i="1"/>
  <c r="J2552" i="1"/>
  <c r="I2552" i="1"/>
  <c r="H2552" i="1"/>
  <c r="G2552" i="1"/>
  <c r="F2552" i="1"/>
  <c r="B2552" i="1"/>
  <c r="J2327" i="1"/>
  <c r="J2326" i="1"/>
  <c r="J2325" i="1"/>
  <c r="J2324" i="1"/>
  <c r="H2327" i="1"/>
  <c r="H2326" i="1"/>
  <c r="H2325" i="1"/>
  <c r="H2324" i="1"/>
  <c r="F2327" i="1"/>
  <c r="S2327" i="1"/>
  <c r="Q2327" i="1"/>
  <c r="O2327" i="1"/>
  <c r="B2327" i="1"/>
  <c r="F2326" i="1"/>
  <c r="S2326" i="1"/>
  <c r="Q2326" i="1"/>
  <c r="O2326" i="1"/>
  <c r="B2326" i="1"/>
  <c r="F2325" i="1"/>
  <c r="F2324" i="1"/>
  <c r="S2325" i="1"/>
  <c r="Q2325" i="1"/>
  <c r="O2325" i="1"/>
  <c r="B2325" i="1"/>
  <c r="O2324" i="1"/>
  <c r="S2324" i="1"/>
  <c r="Q2324" i="1"/>
  <c r="B2324" i="1"/>
  <c r="O2220" i="1"/>
  <c r="S2220" i="1"/>
  <c r="Q2220" i="1"/>
  <c r="E2220" i="1"/>
  <c r="B2220" i="1"/>
  <c r="O2217" i="1"/>
  <c r="S2217" i="1"/>
  <c r="Q2217" i="1"/>
  <c r="E2217" i="1"/>
  <c r="B2217" i="1"/>
  <c r="O2166" i="1"/>
  <c r="S2166" i="1"/>
  <c r="Q2166" i="1"/>
  <c r="E2166" i="1"/>
  <c r="D2166" i="1" s="1"/>
  <c r="B2166" i="1"/>
  <c r="S2161" i="1"/>
  <c r="Q2161" i="1"/>
  <c r="O2161" i="1"/>
  <c r="E2161" i="1"/>
  <c r="B2161" i="1"/>
  <c r="O2141" i="1"/>
  <c r="S2141" i="1"/>
  <c r="Q2141" i="1"/>
  <c r="E2141" i="1"/>
  <c r="B2141" i="1"/>
  <c r="O1860" i="1"/>
  <c r="O1859" i="1"/>
  <c r="O1858" i="1"/>
  <c r="O1857" i="1"/>
  <c r="O1731" i="1"/>
  <c r="M1709" i="1"/>
  <c r="M1523" i="1" s="1"/>
  <c r="O1695" i="1"/>
  <c r="D2217" i="1" l="1"/>
  <c r="D2141" i="1"/>
  <c r="D2220" i="1"/>
  <c r="D2161" i="1"/>
  <c r="O1856" i="1"/>
  <c r="E2326" i="1"/>
  <c r="D2326" i="1" s="1"/>
  <c r="E2324" i="1"/>
  <c r="D2324" i="1" s="1"/>
  <c r="E2552" i="1"/>
  <c r="D2552" i="1" s="1"/>
  <c r="E2325" i="1"/>
  <c r="D2325" i="1" s="1"/>
  <c r="E2327" i="1"/>
  <c r="D2327" i="1" s="1"/>
  <c r="J1591" i="1" l="1"/>
  <c r="I1591" i="1"/>
  <c r="H1591" i="1"/>
  <c r="G1591" i="1"/>
  <c r="F1591" i="1"/>
  <c r="S1591" i="1"/>
  <c r="Q1591" i="1"/>
  <c r="B1591" i="1"/>
  <c r="J385" i="1"/>
  <c r="H385" i="1"/>
  <c r="G385" i="1"/>
  <c r="J383" i="1"/>
  <c r="H383" i="1"/>
  <c r="G383" i="1"/>
  <c r="S383" i="1"/>
  <c r="Q383" i="1"/>
  <c r="M383" i="1"/>
  <c r="B383" i="1"/>
  <c r="S385" i="1"/>
  <c r="Q385" i="1"/>
  <c r="M385" i="1"/>
  <c r="B385" i="1"/>
  <c r="J1328" i="1"/>
  <c r="I1328" i="1"/>
  <c r="H1328" i="1"/>
  <c r="G1328" i="1"/>
  <c r="F1328" i="1"/>
  <c r="Q1336" i="1"/>
  <c r="Q1337" i="1"/>
  <c r="Q1338" i="1"/>
  <c r="Q1339" i="1"/>
  <c r="S1328" i="1"/>
  <c r="Q1328" i="1"/>
  <c r="O1328" i="1"/>
  <c r="B1328" i="1"/>
  <c r="O2060" i="1"/>
  <c r="B2060" i="1"/>
  <c r="Q2060" i="1"/>
  <c r="E2060" i="1"/>
  <c r="O2058" i="1"/>
  <c r="J2058" i="1"/>
  <c r="H2058" i="1"/>
  <c r="F2058" i="1"/>
  <c r="S2058" i="1"/>
  <c r="Q2058" i="1"/>
  <c r="B2058" i="1"/>
  <c r="O69" i="1"/>
  <c r="D69" i="1" s="1"/>
  <c r="B69" i="1"/>
  <c r="S69" i="1"/>
  <c r="Q69" i="1"/>
  <c r="D2060" i="1" l="1"/>
  <c r="O2055" i="1"/>
  <c r="E385" i="1"/>
  <c r="D385" i="1" s="1"/>
  <c r="E383" i="1"/>
  <c r="D383" i="1" s="1"/>
  <c r="E2058" i="1"/>
  <c r="D2058" i="1" s="1"/>
  <c r="E1328" i="1"/>
  <c r="D1328" i="1" s="1"/>
  <c r="E1591" i="1"/>
  <c r="D1591" i="1" s="1"/>
  <c r="I1951" i="1" l="1"/>
  <c r="G1951" i="1"/>
  <c r="S1951" i="1"/>
  <c r="Q1951" i="1"/>
  <c r="O1951" i="1"/>
  <c r="E1951" i="1"/>
  <c r="D1951" i="1" s="1"/>
  <c r="B1951" i="1"/>
  <c r="J1944" i="1"/>
  <c r="I1944" i="1"/>
  <c r="H1944" i="1"/>
  <c r="G1944" i="1"/>
  <c r="F1944" i="1"/>
  <c r="S1944" i="1"/>
  <c r="Q1944" i="1"/>
  <c r="B1944" i="1"/>
  <c r="O2612" i="1"/>
  <c r="O2611" i="1"/>
  <c r="O2610" i="1"/>
  <c r="O2609" i="1"/>
  <c r="O2608" i="1"/>
  <c r="O2606" i="1"/>
  <c r="O2605" i="1"/>
  <c r="M2598" i="1"/>
  <c r="O2597" i="1"/>
  <c r="O2596" i="1"/>
  <c r="O2594" i="1"/>
  <c r="O2593" i="1"/>
  <c r="O2590" i="1"/>
  <c r="O2588" i="1"/>
  <c r="O2587" i="1"/>
  <c r="O2584" i="1"/>
  <c r="O2581" i="1"/>
  <c r="O2576" i="1"/>
  <c r="O2575" i="1"/>
  <c r="O2574" i="1"/>
  <c r="O2573" i="1"/>
  <c r="E1944" i="1" l="1"/>
  <c r="D1944" i="1" s="1"/>
  <c r="O2572" i="1"/>
  <c r="O2571" i="1"/>
  <c r="O2570" i="1"/>
  <c r="O2569" i="1"/>
  <c r="O2578" i="1"/>
  <c r="O2577" i="1"/>
  <c r="O2568" i="1"/>
  <c r="O2567" i="1"/>
  <c r="O2564" i="1"/>
  <c r="O2563" i="1"/>
  <c r="O2562" i="1"/>
  <c r="O2561" i="1"/>
  <c r="O2557" i="1"/>
  <c r="O2553" i="1"/>
  <c r="O2551" i="1"/>
  <c r="O2550" i="1"/>
  <c r="O2546" i="1"/>
  <c r="O2544" i="1"/>
  <c r="O2542" i="1"/>
  <c r="O2540" i="1"/>
  <c r="O2539" i="1"/>
  <c r="O2538" i="1"/>
  <c r="O2537" i="1"/>
  <c r="O2536" i="1"/>
  <c r="O2534" i="1"/>
  <c r="O2529" i="1"/>
  <c r="O2528" i="1"/>
  <c r="O2527" i="1"/>
  <c r="O2526" i="1"/>
  <c r="O2525" i="1"/>
  <c r="O2524" i="1"/>
  <c r="O2523" i="1"/>
  <c r="O2518" i="1"/>
  <c r="O2516" i="1"/>
  <c r="O2514" i="1"/>
  <c r="O2511" i="1"/>
  <c r="O2509" i="1"/>
  <c r="O2508" i="1"/>
  <c r="O2504" i="1"/>
  <c r="O2503" i="1"/>
  <c r="O2502" i="1"/>
  <c r="O2500" i="1"/>
  <c r="O2499" i="1"/>
  <c r="O2498" i="1"/>
  <c r="O2496" i="1"/>
  <c r="O2495" i="1"/>
  <c r="O2494" i="1"/>
  <c r="O2493" i="1"/>
  <c r="O2492" i="1"/>
  <c r="O2491" i="1"/>
  <c r="O2490" i="1"/>
  <c r="O2489" i="1"/>
  <c r="O2488" i="1"/>
  <c r="O2486" i="1"/>
  <c r="O2485" i="1"/>
  <c r="O2483" i="1"/>
  <c r="O2482" i="1"/>
  <c r="O2479" i="1"/>
  <c r="O2477" i="1"/>
  <c r="O2478" i="1"/>
  <c r="O2463" i="1"/>
  <c r="O2019" i="1"/>
  <c r="O2462" i="1" l="1"/>
  <c r="O2461" i="1"/>
  <c r="O2460" i="1"/>
  <c r="O2456" i="1"/>
  <c r="O2454" i="1"/>
  <c r="O2451" i="1"/>
  <c r="O2448" i="1"/>
  <c r="O2447" i="1"/>
  <c r="O2446" i="1"/>
  <c r="O2445" i="1"/>
  <c r="O2443" i="1"/>
  <c r="O2442" i="1"/>
  <c r="O2440" i="1"/>
  <c r="O2437" i="1"/>
  <c r="O2435" i="1"/>
  <c r="O2433" i="1"/>
  <c r="O2432" i="1"/>
  <c r="O2431" i="1"/>
  <c r="O2430" i="1"/>
  <c r="O2423" i="1"/>
  <c r="O2422" i="1"/>
  <c r="O2419" i="1"/>
  <c r="O2418" i="1"/>
  <c r="O2417" i="1"/>
  <c r="O2415" i="1"/>
  <c r="O2412" i="1"/>
  <c r="O2404" i="1"/>
  <c r="O2410" i="1"/>
  <c r="O2402" i="1"/>
  <c r="O2401" i="1"/>
  <c r="O2394" i="1"/>
  <c r="O2392" i="1"/>
  <c r="O2390" i="1"/>
  <c r="O2389" i="1"/>
  <c r="O2385" i="1"/>
  <c r="O2388" i="1"/>
  <c r="O2381" i="1"/>
  <c r="O2380" i="1"/>
  <c r="O2373" i="1"/>
  <c r="O2372" i="1"/>
  <c r="O2370" i="1"/>
  <c r="O2369" i="1"/>
  <c r="O2368" i="1"/>
  <c r="O2377" i="1"/>
  <c r="O2376" i="1"/>
  <c r="O2375" i="1"/>
  <c r="O2374" i="1"/>
  <c r="O2366" i="1"/>
  <c r="O2364" i="1"/>
  <c r="O2363" i="1"/>
  <c r="O2365" i="1"/>
  <c r="O2360" i="1"/>
  <c r="O2357" i="1"/>
  <c r="O2355" i="1"/>
  <c r="O2354" i="1"/>
  <c r="O2348" i="1"/>
  <c r="O2347" i="1"/>
  <c r="O2346" i="1"/>
  <c r="O2345" i="1"/>
  <c r="O2351" i="1"/>
  <c r="O2353" i="1"/>
  <c r="O2349" i="1"/>
  <c r="O2344" i="1"/>
  <c r="O2343" i="1"/>
  <c r="O2341" i="1"/>
  <c r="O2340" i="1"/>
  <c r="O2339" i="1"/>
  <c r="O2338" i="1"/>
  <c r="O2336" i="1"/>
  <c r="O2335" i="1"/>
  <c r="O2333" i="1" l="1"/>
  <c r="J2662" i="1"/>
  <c r="J2653" i="1"/>
  <c r="J2652" i="1"/>
  <c r="J2651" i="1"/>
  <c r="J2650" i="1"/>
  <c r="J2649" i="1"/>
  <c r="J2646" i="1"/>
  <c r="J2645" i="1"/>
  <c r="J2641" i="1"/>
  <c r="J2640" i="1"/>
  <c r="J2639" i="1"/>
  <c r="J2638" i="1"/>
  <c r="J2637" i="1"/>
  <c r="J2636" i="1"/>
  <c r="J2635" i="1"/>
  <c r="J2633" i="1"/>
  <c r="J2632" i="1"/>
  <c r="J2631" i="1"/>
  <c r="J2630" i="1"/>
  <c r="J2620" i="1"/>
  <c r="J2619" i="1"/>
  <c r="J2618" i="1"/>
  <c r="J2617" i="1"/>
  <c r="I2620" i="1"/>
  <c r="I2616" i="1" s="1"/>
  <c r="H2641" i="1"/>
  <c r="H2640" i="1"/>
  <c r="H2639" i="1"/>
  <c r="H2638" i="1"/>
  <c r="H2637" i="1"/>
  <c r="H2636" i="1"/>
  <c r="H2635" i="1"/>
  <c r="H2633" i="1"/>
  <c r="H2632" i="1"/>
  <c r="H2631" i="1"/>
  <c r="H2630" i="1"/>
  <c r="H2620" i="1"/>
  <c r="H2619" i="1"/>
  <c r="H2618" i="1"/>
  <c r="H2617" i="1"/>
  <c r="G2662" i="1"/>
  <c r="G2638" i="1"/>
  <c r="G2637" i="1"/>
  <c r="G2636" i="1"/>
  <c r="G2635" i="1"/>
  <c r="G2620" i="1"/>
  <c r="F2653" i="1"/>
  <c r="F2652" i="1"/>
  <c r="F2651" i="1"/>
  <c r="F2650" i="1"/>
  <c r="F2649" i="1"/>
  <c r="F2646" i="1"/>
  <c r="F2645" i="1"/>
  <c r="F2641" i="1"/>
  <c r="F2640" i="1"/>
  <c r="F2639" i="1"/>
  <c r="F2638" i="1"/>
  <c r="F2637" i="1"/>
  <c r="F2636" i="1"/>
  <c r="F2635" i="1"/>
  <c r="F2632" i="1"/>
  <c r="F2631" i="1"/>
  <c r="F2630" i="1"/>
  <c r="F2620" i="1"/>
  <c r="F2619" i="1"/>
  <c r="F2618" i="1"/>
  <c r="F2617" i="1"/>
  <c r="O2619" i="1"/>
  <c r="O2618" i="1"/>
  <c r="O2617" i="1"/>
  <c r="O2650" i="1"/>
  <c r="O2652" i="1"/>
  <c r="O2651" i="1"/>
  <c r="O2638" i="1"/>
  <c r="O2645" i="1"/>
  <c r="O2641" i="1"/>
  <c r="O2640" i="1"/>
  <c r="O2639" i="1"/>
  <c r="O2620" i="1"/>
  <c r="O2660" i="1"/>
  <c r="O2659" i="1"/>
  <c r="O2662" i="1"/>
  <c r="O2667" i="1"/>
  <c r="J2667" i="1"/>
  <c r="J2660" i="1"/>
  <c r="J2659" i="1"/>
  <c r="H2667" i="1"/>
  <c r="H2660" i="1"/>
  <c r="H2659" i="1"/>
  <c r="H2662" i="1"/>
  <c r="G2667" i="1"/>
  <c r="G2660" i="1"/>
  <c r="G2659" i="1"/>
  <c r="F2667" i="1"/>
  <c r="F2660" i="1"/>
  <c r="F2659" i="1"/>
  <c r="F2662" i="1"/>
  <c r="G2616" i="1" l="1"/>
  <c r="J2616" i="1"/>
  <c r="F2616" i="1"/>
  <c r="O1385" i="1"/>
  <c r="O1384" i="1" s="1"/>
  <c r="O2637" i="1"/>
  <c r="O2636" i="1"/>
  <c r="O2635" i="1"/>
  <c r="O2758" i="1"/>
  <c r="O2759" i="1"/>
  <c r="O2757" i="1"/>
  <c r="O2755" i="1"/>
  <c r="O2751" i="1"/>
  <c r="O2750" i="1"/>
  <c r="O2749" i="1"/>
  <c r="O2748" i="1"/>
  <c r="O2747" i="1"/>
  <c r="O2744" i="1"/>
  <c r="O1883" i="1"/>
  <c r="O2743" i="1"/>
  <c r="O2742" i="1"/>
  <c r="O2741" i="1"/>
  <c r="O2740" i="1"/>
  <c r="O1881" i="1"/>
  <c r="O2739" i="1"/>
  <c r="O2736" i="1"/>
  <c r="O2735" i="1"/>
  <c r="O2732" i="1"/>
  <c r="O2731" i="1"/>
  <c r="O2730" i="1"/>
  <c r="O2727" i="1"/>
  <c r="O2725" i="1"/>
  <c r="O2724" i="1"/>
  <c r="S2722" i="1"/>
  <c r="O2722" i="1"/>
  <c r="O2721" i="1"/>
  <c r="O2718" i="1"/>
  <c r="O2717" i="1"/>
  <c r="O2716" i="1"/>
  <c r="O2714" i="1"/>
  <c r="J2758" i="1"/>
  <c r="J2759" i="1"/>
  <c r="J2757" i="1"/>
  <c r="J2755" i="1"/>
  <c r="J2754" i="1"/>
  <c r="J2753" i="1"/>
  <c r="J2752" i="1"/>
  <c r="J2751" i="1"/>
  <c r="J2750" i="1"/>
  <c r="J2749" i="1"/>
  <c r="J2748" i="1"/>
  <c r="J2747" i="1"/>
  <c r="J2744" i="1"/>
  <c r="J1883" i="1"/>
  <c r="J2743" i="1"/>
  <c r="J2742" i="1"/>
  <c r="J2741" i="1"/>
  <c r="J2740" i="1"/>
  <c r="J1881" i="1"/>
  <c r="J2739" i="1"/>
  <c r="J2736" i="1"/>
  <c r="J2735" i="1"/>
  <c r="J2734" i="1"/>
  <c r="J2732" i="1"/>
  <c r="J2731" i="1"/>
  <c r="J2728" i="1"/>
  <c r="J2727" i="1"/>
  <c r="J2725" i="1"/>
  <c r="J2722" i="1"/>
  <c r="J2724" i="1"/>
  <c r="J2717" i="1"/>
  <c r="J2716" i="1"/>
  <c r="J2714" i="1"/>
  <c r="I2758" i="1"/>
  <c r="I2759" i="1"/>
  <c r="I2757" i="1"/>
  <c r="I2755" i="1"/>
  <c r="I2754" i="1"/>
  <c r="I2753" i="1"/>
  <c r="I2752" i="1"/>
  <c r="I2751" i="1"/>
  <c r="I2750" i="1"/>
  <c r="I2749" i="1"/>
  <c r="I2748" i="1"/>
  <c r="I2747" i="1"/>
  <c r="I2744" i="1"/>
  <c r="I1883" i="1"/>
  <c r="I2743" i="1"/>
  <c r="I2742" i="1"/>
  <c r="I2741" i="1"/>
  <c r="I2740" i="1"/>
  <c r="I1881" i="1"/>
  <c r="I1875" i="1" s="1"/>
  <c r="I2739" i="1"/>
  <c r="I2736" i="1"/>
  <c r="I2735" i="1"/>
  <c r="I2732" i="1"/>
  <c r="I2731" i="1"/>
  <c r="I2728" i="1"/>
  <c r="I2727" i="1"/>
  <c r="I2725" i="1"/>
  <c r="I2724" i="1"/>
  <c r="I2722" i="1"/>
  <c r="I2717" i="1"/>
  <c r="I2716" i="1"/>
  <c r="I2714" i="1"/>
  <c r="H2758" i="1"/>
  <c r="H2759" i="1"/>
  <c r="H2757" i="1"/>
  <c r="H2755" i="1"/>
  <c r="H2754" i="1"/>
  <c r="H2753" i="1"/>
  <c r="H2752" i="1"/>
  <c r="H2751" i="1"/>
  <c r="H2750" i="1"/>
  <c r="H2749" i="1"/>
  <c r="H2748" i="1"/>
  <c r="H2747" i="1"/>
  <c r="H2744" i="1"/>
  <c r="H1883" i="1"/>
  <c r="H2743" i="1"/>
  <c r="H2742" i="1"/>
  <c r="H2741" i="1"/>
  <c r="H2740" i="1"/>
  <c r="H1881" i="1"/>
  <c r="H2739" i="1"/>
  <c r="H2736" i="1"/>
  <c r="H2735" i="1"/>
  <c r="H2734" i="1"/>
  <c r="H2732" i="1"/>
  <c r="H2731" i="1"/>
  <c r="H2728" i="1"/>
  <c r="H2727" i="1"/>
  <c r="H2725" i="1"/>
  <c r="H2724" i="1"/>
  <c r="H2722" i="1"/>
  <c r="H2717" i="1"/>
  <c r="H2718" i="1"/>
  <c r="H2716" i="1"/>
  <c r="H2714" i="1"/>
  <c r="G2758" i="1"/>
  <c r="G2759" i="1"/>
  <c r="G2757" i="1"/>
  <c r="G2755" i="1"/>
  <c r="G2754" i="1"/>
  <c r="G2753" i="1"/>
  <c r="G2752" i="1"/>
  <c r="G2751" i="1"/>
  <c r="G2750" i="1"/>
  <c r="G2749" i="1"/>
  <c r="G2748" i="1"/>
  <c r="G2747" i="1"/>
  <c r="G2744" i="1"/>
  <c r="G1883" i="1"/>
  <c r="G2743" i="1"/>
  <c r="G2742" i="1"/>
  <c r="G2741" i="1"/>
  <c r="G2740" i="1"/>
  <c r="G1881" i="1"/>
  <c r="G2739" i="1"/>
  <c r="G2736" i="1"/>
  <c r="G2735" i="1"/>
  <c r="G2734" i="1"/>
  <c r="G2732" i="1"/>
  <c r="G2731" i="1"/>
  <c r="G2728" i="1"/>
  <c r="G2727" i="1"/>
  <c r="G2725" i="1"/>
  <c r="G2724" i="1"/>
  <c r="G2722" i="1"/>
  <c r="G2717" i="1"/>
  <c r="G2716" i="1"/>
  <c r="G2714" i="1"/>
  <c r="F2758" i="1"/>
  <c r="F2759" i="1"/>
  <c r="F2757" i="1"/>
  <c r="F2756" i="1"/>
  <c r="F2755" i="1"/>
  <c r="F2754" i="1"/>
  <c r="F2753" i="1"/>
  <c r="F2752" i="1"/>
  <c r="F2751" i="1"/>
  <c r="F2750" i="1"/>
  <c r="F2749" i="1"/>
  <c r="F2748" i="1"/>
  <c r="F2747" i="1"/>
  <c r="F2744" i="1"/>
  <c r="F1883" i="1"/>
  <c r="F2743" i="1"/>
  <c r="F2742" i="1"/>
  <c r="F2741" i="1"/>
  <c r="F2740" i="1"/>
  <c r="F1881" i="1"/>
  <c r="F2739" i="1"/>
  <c r="F2736" i="1"/>
  <c r="F2735" i="1"/>
  <c r="F2732" i="1"/>
  <c r="F2731" i="1"/>
  <c r="F2728" i="1"/>
  <c r="F2727" i="1"/>
  <c r="F2726" i="1"/>
  <c r="F2725" i="1"/>
  <c r="F2724" i="1"/>
  <c r="F2722" i="1"/>
  <c r="F2717" i="1"/>
  <c r="F2716" i="1"/>
  <c r="F2714" i="1"/>
  <c r="J2713" i="1" l="1"/>
  <c r="O2616" i="1"/>
  <c r="F2713" i="1"/>
  <c r="I2713" i="1"/>
  <c r="H2713" i="1"/>
  <c r="G2713" i="1"/>
  <c r="O2713" i="1"/>
  <c r="J2712" i="1"/>
  <c r="J2711" i="1"/>
  <c r="J2710" i="1"/>
  <c r="J2709" i="1"/>
  <c r="I2712" i="1"/>
  <c r="I2711" i="1"/>
  <c r="I2710" i="1"/>
  <c r="I2709" i="1"/>
  <c r="H2712" i="1"/>
  <c r="H2711" i="1"/>
  <c r="H2710" i="1"/>
  <c r="H2709" i="1"/>
  <c r="G2712" i="1"/>
  <c r="G2711" i="1"/>
  <c r="G2710" i="1"/>
  <c r="G2709" i="1"/>
  <c r="F2712" i="1"/>
  <c r="F2710" i="1"/>
  <c r="F2709" i="1"/>
  <c r="J2708" i="1" l="1"/>
  <c r="G2708" i="1"/>
  <c r="H2708" i="1"/>
  <c r="F2708" i="1"/>
  <c r="I2708" i="1"/>
  <c r="O2707" i="1"/>
  <c r="O2704" i="1" s="1"/>
  <c r="J2705" i="1"/>
  <c r="J2704" i="1" s="1"/>
  <c r="H2705" i="1"/>
  <c r="H2704" i="1" s="1"/>
  <c r="G2705" i="1"/>
  <c r="G2704" i="1" s="1"/>
  <c r="F2707" i="1"/>
  <c r="F2705" i="1"/>
  <c r="F2704" i="1" l="1"/>
  <c r="J2703" i="1"/>
  <c r="J2702" i="1"/>
  <c r="J2701" i="1"/>
  <c r="J2700" i="1"/>
  <c r="H2703" i="1"/>
  <c r="H2702" i="1"/>
  <c r="H2701" i="1"/>
  <c r="H2700" i="1"/>
  <c r="F2702" i="1"/>
  <c r="F2701" i="1"/>
  <c r="F2700" i="1"/>
  <c r="J2698" i="1"/>
  <c r="J2697" i="1"/>
  <c r="J2696" i="1"/>
  <c r="J2695" i="1"/>
  <c r="H2698" i="1"/>
  <c r="H2697" i="1"/>
  <c r="H2696" i="1"/>
  <c r="H2695" i="1"/>
  <c r="G2698" i="1"/>
  <c r="G2696" i="1"/>
  <c r="G2695" i="1"/>
  <c r="G2690" i="1" s="1"/>
  <c r="F2698" i="1"/>
  <c r="F2697" i="1"/>
  <c r="F2696" i="1"/>
  <c r="F2695" i="1"/>
  <c r="O2698" i="1"/>
  <c r="O2697" i="1"/>
  <c r="O2696" i="1"/>
  <c r="O2695" i="1"/>
  <c r="O2686" i="1"/>
  <c r="O2685" i="1"/>
  <c r="O2680" i="1"/>
  <c r="O2678" i="1"/>
  <c r="O2677" i="1"/>
  <c r="O2676" i="1"/>
  <c r="J2686" i="1"/>
  <c r="J2685" i="1"/>
  <c r="J2684" i="1"/>
  <c r="J2683" i="1"/>
  <c r="J2680" i="1"/>
  <c r="J2678" i="1"/>
  <c r="J2677" i="1"/>
  <c r="J2676" i="1"/>
  <c r="J2670" i="1"/>
  <c r="J2669" i="1"/>
  <c r="H2686" i="1"/>
  <c r="H2685" i="1"/>
  <c r="H2684" i="1"/>
  <c r="H2683" i="1"/>
  <c r="H2680" i="1"/>
  <c r="H2678" i="1"/>
  <c r="H2677" i="1"/>
  <c r="H2676" i="1"/>
  <c r="H2670" i="1"/>
  <c r="H2669" i="1"/>
  <c r="F2686" i="1"/>
  <c r="F2685" i="1"/>
  <c r="F2684" i="1"/>
  <c r="F2683" i="1"/>
  <c r="F2680" i="1"/>
  <c r="F2678" i="1"/>
  <c r="F2677" i="1"/>
  <c r="F2676" i="1"/>
  <c r="F2670" i="1"/>
  <c r="F2669" i="1"/>
  <c r="F2699" i="1" l="1"/>
  <c r="H2699" i="1"/>
  <c r="J2668" i="1"/>
  <c r="O2668" i="1"/>
  <c r="O2690" i="1"/>
  <c r="H2690" i="1"/>
  <c r="J2699" i="1"/>
  <c r="F2668" i="1"/>
  <c r="J2690" i="1"/>
  <c r="H2668" i="1"/>
  <c r="F2690" i="1"/>
  <c r="O2322" i="1"/>
  <c r="O2319" i="1"/>
  <c r="O2316" i="1"/>
  <c r="O2331" i="1"/>
  <c r="O2330" i="1"/>
  <c r="O2329" i="1"/>
  <c r="J2330" i="1"/>
  <c r="J2329" i="1"/>
  <c r="J2331" i="1"/>
  <c r="J2323" i="1"/>
  <c r="J2322" i="1"/>
  <c r="J2321" i="1"/>
  <c r="J2319" i="1"/>
  <c r="H2330" i="1"/>
  <c r="H2329" i="1"/>
  <c r="H2331" i="1"/>
  <c r="H2323" i="1"/>
  <c r="H2322" i="1"/>
  <c r="H2321" i="1"/>
  <c r="H2319" i="1"/>
  <c r="G2331" i="1"/>
  <c r="G2322" i="1"/>
  <c r="G2321" i="1"/>
  <c r="G2319" i="1"/>
  <c r="G2316" i="1"/>
  <c r="F2330" i="1"/>
  <c r="F2329" i="1"/>
  <c r="F2331" i="1"/>
  <c r="F2323" i="1"/>
  <c r="F2322" i="1"/>
  <c r="F2321" i="1"/>
  <c r="F2319" i="1"/>
  <c r="F2316" i="1"/>
  <c r="H2315" i="1" l="1"/>
  <c r="G2315" i="1"/>
  <c r="F2315" i="1"/>
  <c r="J2315" i="1"/>
  <c r="O2315" i="1"/>
  <c r="O2314" i="1"/>
  <c r="O2313" i="1"/>
  <c r="O2311" i="1"/>
  <c r="O2310" i="1"/>
  <c r="O2305" i="1"/>
  <c r="O2304" i="1"/>
  <c r="O2301" i="1"/>
  <c r="O2300" i="1"/>
  <c r="O2298" i="1"/>
  <c r="O2295" i="1"/>
  <c r="O2292" i="1"/>
  <c r="O2291" i="1"/>
  <c r="O2289" i="1"/>
  <c r="O2288" i="1"/>
  <c r="J2312" i="1"/>
  <c r="J2314" i="1"/>
  <c r="J2313" i="1"/>
  <c r="J2311" i="1"/>
  <c r="J2310" i="1"/>
  <c r="J2306" i="1"/>
  <c r="J2305" i="1"/>
  <c r="J2304" i="1"/>
  <c r="J2303" i="1"/>
  <c r="J2301" i="1"/>
  <c r="J2300" i="1"/>
  <c r="J2299" i="1"/>
  <c r="J2297" i="1"/>
  <c r="J2295" i="1"/>
  <c r="J2294" i="1"/>
  <c r="J2293" i="1"/>
  <c r="J2292" i="1"/>
  <c r="J2291" i="1"/>
  <c r="J2289" i="1"/>
  <c r="H2312" i="1"/>
  <c r="H2314" i="1"/>
  <c r="H2313" i="1"/>
  <c r="H2311" i="1"/>
  <c r="H2310" i="1"/>
  <c r="H2306" i="1"/>
  <c r="H2305" i="1"/>
  <c r="H2304" i="1"/>
  <c r="H2303" i="1"/>
  <c r="H2301" i="1"/>
  <c r="H2300" i="1"/>
  <c r="H2299" i="1"/>
  <c r="H2297" i="1"/>
  <c r="H2295" i="1"/>
  <c r="H2294" i="1"/>
  <c r="H2292" i="1"/>
  <c r="H2293" i="1"/>
  <c r="H2291" i="1"/>
  <c r="H2289" i="1"/>
  <c r="G2312" i="1"/>
  <c r="G2314" i="1"/>
  <c r="G2313" i="1"/>
  <c r="G2311" i="1"/>
  <c r="G2310" i="1"/>
  <c r="G2306" i="1"/>
  <c r="G2305" i="1"/>
  <c r="G2304" i="1"/>
  <c r="G2303" i="1"/>
  <c r="G2301" i="1"/>
  <c r="G2300" i="1"/>
  <c r="G2299" i="1"/>
  <c r="G2297" i="1"/>
  <c r="G2295" i="1"/>
  <c r="F2312" i="1"/>
  <c r="F2314" i="1"/>
  <c r="F2313" i="1"/>
  <c r="F2311" i="1"/>
  <c r="F2310" i="1"/>
  <c r="F2306" i="1"/>
  <c r="F2305" i="1"/>
  <c r="F2304" i="1"/>
  <c r="F2303" i="1"/>
  <c r="F2301" i="1"/>
  <c r="F2300" i="1"/>
  <c r="F2299" i="1"/>
  <c r="F2298" i="1"/>
  <c r="F2297" i="1"/>
  <c r="F2295" i="1"/>
  <c r="F2294" i="1"/>
  <c r="F2293" i="1"/>
  <c r="F2292" i="1"/>
  <c r="F2291" i="1"/>
  <c r="F2289" i="1"/>
  <c r="J2285" i="1" l="1"/>
  <c r="G2285" i="1"/>
  <c r="F2285" i="1"/>
  <c r="H2285" i="1"/>
  <c r="O2285" i="1"/>
  <c r="J2284" i="1"/>
  <c r="J2283" i="1"/>
  <c r="J2282" i="1"/>
  <c r="J2281" i="1"/>
  <c r="J2279" i="1"/>
  <c r="J2278" i="1"/>
  <c r="J2277" i="1"/>
  <c r="I2281" i="1"/>
  <c r="H2284" i="1"/>
  <c r="H2283" i="1"/>
  <c r="H2282" i="1"/>
  <c r="H2281" i="1"/>
  <c r="H2279" i="1"/>
  <c r="H2278" i="1"/>
  <c r="H2277" i="1"/>
  <c r="F2284" i="1"/>
  <c r="F2283" i="1"/>
  <c r="F2282" i="1"/>
  <c r="F2281" i="1"/>
  <c r="F2279" i="1"/>
  <c r="F2278" i="1"/>
  <c r="F2277" i="1"/>
  <c r="O2282" i="1"/>
  <c r="O2276" i="1"/>
  <c r="F2276" i="1"/>
  <c r="J2273" i="1"/>
  <c r="J2274" i="1"/>
  <c r="H2274" i="1"/>
  <c r="H2273" i="1"/>
  <c r="F2274" i="1"/>
  <c r="F2273" i="1"/>
  <c r="O2274" i="1"/>
  <c r="O2273" i="1"/>
  <c r="O2272" i="1"/>
  <c r="O2271" i="1"/>
  <c r="O2270" i="1"/>
  <c r="F2272" i="1"/>
  <c r="F2271" i="1"/>
  <c r="F2270" i="1"/>
  <c r="O2264" i="1" l="1"/>
  <c r="O2253" i="1"/>
  <c r="O2249" i="1"/>
  <c r="O2248" i="1"/>
  <c r="O2247" i="1"/>
  <c r="O2246" i="1"/>
  <c r="O2243" i="1"/>
  <c r="M2243" i="1"/>
  <c r="M2242" i="1" s="1"/>
  <c r="J2265" i="1"/>
  <c r="J2266" i="1"/>
  <c r="J2264" i="1"/>
  <c r="J2253" i="1"/>
  <c r="J2250" i="1"/>
  <c r="J2249" i="1"/>
  <c r="J2248" i="1"/>
  <c r="J2247" i="1"/>
  <c r="J2246" i="1"/>
  <c r="J2243" i="1"/>
  <c r="I2246" i="1"/>
  <c r="I2243" i="1"/>
  <c r="I2242" i="1" s="1"/>
  <c r="H2265" i="1"/>
  <c r="H2266" i="1"/>
  <c r="H2264" i="1"/>
  <c r="H2253" i="1"/>
  <c r="H2250" i="1"/>
  <c r="H2249" i="1"/>
  <c r="H2248" i="1"/>
  <c r="H2247" i="1"/>
  <c r="H2246" i="1"/>
  <c r="H2243" i="1"/>
  <c r="G2265" i="1"/>
  <c r="G2266" i="1"/>
  <c r="G2264" i="1"/>
  <c r="G2253" i="1"/>
  <c r="G2249" i="1"/>
  <c r="G2248" i="1"/>
  <c r="G2247" i="1"/>
  <c r="G2246" i="1"/>
  <c r="G2243" i="1"/>
  <c r="F2265" i="1"/>
  <c r="F2266" i="1"/>
  <c r="F2264" i="1"/>
  <c r="F2253" i="1"/>
  <c r="F2249" i="1"/>
  <c r="F2248" i="1"/>
  <c r="F2247" i="1"/>
  <c r="F2246" i="1"/>
  <c r="F2243" i="1"/>
  <c r="F2242" i="1" l="1"/>
  <c r="H2242" i="1"/>
  <c r="J2242" i="1"/>
  <c r="G2242" i="1"/>
  <c r="O2241" i="1"/>
  <c r="O2240" i="1"/>
  <c r="O2239" i="1"/>
  <c r="O2238" i="1"/>
  <c r="O2237" i="1"/>
  <c r="O2228" i="1"/>
  <c r="O1088" i="1"/>
  <c r="S1055" i="1"/>
  <c r="O2226" i="1"/>
  <c r="O2224" i="1"/>
  <c r="O2223" i="1"/>
  <c r="O2222" i="1"/>
  <c r="O2221" i="1"/>
  <c r="O2214" i="1"/>
  <c r="O2212" i="1"/>
  <c r="O2211" i="1"/>
  <c r="O2210" i="1"/>
  <c r="O2208" i="1"/>
  <c r="O2206" i="1"/>
  <c r="O2205" i="1"/>
  <c r="O2204" i="1"/>
  <c r="O2203" i="1"/>
  <c r="J2241" i="1"/>
  <c r="J2240" i="1"/>
  <c r="J2239" i="1"/>
  <c r="J2238" i="1"/>
  <c r="J2237" i="1"/>
  <c r="J2235" i="1"/>
  <c r="J2234" i="1"/>
  <c r="J2227" i="1"/>
  <c r="J2226" i="1"/>
  <c r="J2224" i="1"/>
  <c r="J2223" i="1"/>
  <c r="J2222" i="1"/>
  <c r="J2221" i="1"/>
  <c r="J2219" i="1"/>
  <c r="J2216" i="1"/>
  <c r="J2214" i="1"/>
  <c r="J2213" i="1"/>
  <c r="J2212" i="1"/>
  <c r="J2211" i="1"/>
  <c r="J2210" i="1"/>
  <c r="J2208" i="1"/>
  <c r="J2207" i="1"/>
  <c r="J2206" i="1"/>
  <c r="J2205" i="1"/>
  <c r="J2204" i="1"/>
  <c r="J2203" i="1"/>
  <c r="I2203" i="1"/>
  <c r="I2202" i="1" s="1"/>
  <c r="G2241" i="1"/>
  <c r="G2240" i="1"/>
  <c r="G2239" i="1"/>
  <c r="G2238" i="1"/>
  <c r="G2237" i="1"/>
  <c r="H2241" i="1"/>
  <c r="H2240" i="1"/>
  <c r="H2239" i="1"/>
  <c r="H2238" i="1"/>
  <c r="H2237" i="1"/>
  <c r="H2235" i="1"/>
  <c r="H2234" i="1"/>
  <c r="H2227" i="1"/>
  <c r="H2226" i="1"/>
  <c r="H2224" i="1"/>
  <c r="H2223" i="1"/>
  <c r="H2222" i="1"/>
  <c r="H2221" i="1"/>
  <c r="H2219" i="1"/>
  <c r="H2216" i="1"/>
  <c r="H2214" i="1"/>
  <c r="H2213" i="1"/>
  <c r="H2212" i="1"/>
  <c r="H2211" i="1"/>
  <c r="H2210" i="1"/>
  <c r="H2208" i="1"/>
  <c r="H2207" i="1"/>
  <c r="H2206" i="1"/>
  <c r="H2205" i="1"/>
  <c r="H2204" i="1"/>
  <c r="H2203" i="1"/>
  <c r="G2223" i="1"/>
  <c r="G2222" i="1"/>
  <c r="G2221" i="1"/>
  <c r="G2219" i="1"/>
  <c r="G2216" i="1"/>
  <c r="G2214" i="1"/>
  <c r="G2213" i="1"/>
  <c r="G2212" i="1"/>
  <c r="G2211" i="1"/>
  <c r="G2210" i="1"/>
  <c r="G2208" i="1"/>
  <c r="G2207" i="1"/>
  <c r="G2206" i="1"/>
  <c r="G2205" i="1"/>
  <c r="G2204" i="1"/>
  <c r="G2203" i="1"/>
  <c r="H2202" i="1" l="1"/>
  <c r="J2202" i="1"/>
  <c r="G2202" i="1"/>
  <c r="O2202" i="1"/>
  <c r="F2241" i="1"/>
  <c r="F2240" i="1"/>
  <c r="F2239" i="1"/>
  <c r="F2238" i="1"/>
  <c r="F2237" i="1"/>
  <c r="F2235" i="1"/>
  <c r="F2234" i="1"/>
  <c r="F2233" i="1"/>
  <c r="F2232" i="1"/>
  <c r="F2231" i="1"/>
  <c r="F2229" i="1"/>
  <c r="F2228" i="1"/>
  <c r="F2227" i="1"/>
  <c r="F2226" i="1"/>
  <c r="F2224" i="1"/>
  <c r="F2223" i="1"/>
  <c r="F2222" i="1"/>
  <c r="F2221" i="1"/>
  <c r="F2219" i="1"/>
  <c r="F2216" i="1"/>
  <c r="F2214" i="1"/>
  <c r="F2213" i="1"/>
  <c r="F2212" i="1"/>
  <c r="F2211" i="1"/>
  <c r="F2210" i="1"/>
  <c r="F2208" i="1"/>
  <c r="F2207" i="1"/>
  <c r="F2206" i="1"/>
  <c r="F2205" i="1"/>
  <c r="F2204" i="1"/>
  <c r="F2203" i="1"/>
  <c r="O2201" i="1"/>
  <c r="O2200" i="1"/>
  <c r="J2201" i="1"/>
  <c r="J2200" i="1"/>
  <c r="H2201" i="1"/>
  <c r="H2200" i="1"/>
  <c r="G2201" i="1"/>
  <c r="G2199" i="1" s="1"/>
  <c r="F2201" i="1"/>
  <c r="F2200" i="1"/>
  <c r="O2198" i="1"/>
  <c r="O2197" i="1"/>
  <c r="O2196" i="1"/>
  <c r="O2195" i="1"/>
  <c r="O2194" i="1"/>
  <c r="J2198" i="1"/>
  <c r="J2197" i="1"/>
  <c r="J2196" i="1"/>
  <c r="J2195" i="1"/>
  <c r="J2193" i="1"/>
  <c r="J2192" i="1"/>
  <c r="J2194" i="1"/>
  <c r="J2189" i="1"/>
  <c r="H2197" i="1"/>
  <c r="H2196" i="1"/>
  <c r="H2195" i="1"/>
  <c r="H2193" i="1"/>
  <c r="H2192" i="1"/>
  <c r="H2194" i="1"/>
  <c r="H2189" i="1"/>
  <c r="F2198" i="1"/>
  <c r="F2197" i="1"/>
  <c r="F2196" i="1"/>
  <c r="F2195" i="1"/>
  <c r="F2193" i="1"/>
  <c r="F2192" i="1"/>
  <c r="F2194" i="1"/>
  <c r="O2189" i="1"/>
  <c r="F2199" i="1" l="1"/>
  <c r="J2188" i="1"/>
  <c r="F2188" i="1"/>
  <c r="J2199" i="1"/>
  <c r="H2199" i="1"/>
  <c r="F2202" i="1"/>
  <c r="H2188" i="1"/>
  <c r="O2199" i="1"/>
  <c r="O2188" i="1"/>
  <c r="O2171" i="1"/>
  <c r="O2169" i="1" s="1"/>
  <c r="O2152" i="1"/>
  <c r="O2151" i="1"/>
  <c r="O2150" i="1"/>
  <c r="O2149" i="1"/>
  <c r="O2168" i="1"/>
  <c r="O2165" i="1"/>
  <c r="O2163" i="1"/>
  <c r="O2162" i="1"/>
  <c r="O2160" i="1"/>
  <c r="O2158" i="1"/>
  <c r="O2157" i="1"/>
  <c r="O2159" i="1"/>
  <c r="O2156" i="1"/>
  <c r="O2155" i="1"/>
  <c r="J2168" i="1"/>
  <c r="J2167" i="1"/>
  <c r="J2165" i="1"/>
  <c r="J2164" i="1"/>
  <c r="J2163" i="1"/>
  <c r="J2162" i="1"/>
  <c r="J2160" i="1"/>
  <c r="J2158" i="1"/>
  <c r="J2157" i="1"/>
  <c r="J2159" i="1"/>
  <c r="J2156" i="1"/>
  <c r="J2155" i="1"/>
  <c r="J2154" i="1"/>
  <c r="J2153" i="1"/>
  <c r="J2152" i="1"/>
  <c r="J2151" i="1"/>
  <c r="J2150" i="1"/>
  <c r="J2149" i="1"/>
  <c r="H2168" i="1"/>
  <c r="H2167" i="1"/>
  <c r="H2165" i="1"/>
  <c r="H2164" i="1"/>
  <c r="H2163" i="1"/>
  <c r="H2162" i="1"/>
  <c r="H2160" i="1"/>
  <c r="H2158" i="1"/>
  <c r="H2157" i="1"/>
  <c r="H2159" i="1"/>
  <c r="H2156" i="1"/>
  <c r="H2155" i="1"/>
  <c r="H2154" i="1"/>
  <c r="H2153" i="1"/>
  <c r="H2152" i="1"/>
  <c r="H2151" i="1"/>
  <c r="H2150" i="1"/>
  <c r="H2149" i="1"/>
  <c r="G2160" i="1"/>
  <c r="G2158" i="1"/>
  <c r="G2157" i="1"/>
  <c r="G2159" i="1"/>
  <c r="F2168" i="1"/>
  <c r="F2167" i="1"/>
  <c r="F2165" i="1"/>
  <c r="F2164" i="1"/>
  <c r="F2163" i="1"/>
  <c r="F2162" i="1"/>
  <c r="F2160" i="1"/>
  <c r="F2158" i="1"/>
  <c r="F2157" i="1"/>
  <c r="F2159" i="1"/>
  <c r="F2156" i="1"/>
  <c r="F2155" i="1"/>
  <c r="F2154" i="1"/>
  <c r="F2153" i="1"/>
  <c r="F2152" i="1"/>
  <c r="F2151" i="1"/>
  <c r="F2150" i="1"/>
  <c r="F2149" i="1"/>
  <c r="J2126" i="1"/>
  <c r="J2125" i="1"/>
  <c r="J2124" i="1"/>
  <c r="J2123" i="1"/>
  <c r="J2122" i="1"/>
  <c r="J2121" i="1"/>
  <c r="J2119" i="1"/>
  <c r="J2118" i="1"/>
  <c r="J2115" i="1"/>
  <c r="J2114" i="1"/>
  <c r="H2126" i="1"/>
  <c r="H2125" i="1"/>
  <c r="H2124" i="1"/>
  <c r="H2123" i="1"/>
  <c r="H2122" i="1"/>
  <c r="H2121" i="1"/>
  <c r="H2119" i="1"/>
  <c r="H2118" i="1"/>
  <c r="H2115" i="1"/>
  <c r="H2114" i="1"/>
  <c r="G2126" i="1"/>
  <c r="G2125" i="1"/>
  <c r="G2124" i="1"/>
  <c r="G2123" i="1"/>
  <c r="G2122" i="1"/>
  <c r="G2121" i="1"/>
  <c r="G2119" i="1"/>
  <c r="G2118" i="1"/>
  <c r="G2115" i="1"/>
  <c r="G2114" i="1"/>
  <c r="F2126" i="1"/>
  <c r="F2125" i="1"/>
  <c r="F2124" i="1"/>
  <c r="F2123" i="1"/>
  <c r="F2122" i="1"/>
  <c r="F2121" i="1"/>
  <c r="F2120" i="1"/>
  <c r="F2119" i="1"/>
  <c r="F2118" i="1"/>
  <c r="F2115" i="1"/>
  <c r="F2114" i="1"/>
  <c r="S2124" i="1"/>
  <c r="O2125" i="1"/>
  <c r="O2115" i="1"/>
  <c r="O2118" i="1"/>
  <c r="O2119" i="1"/>
  <c r="O2120" i="1"/>
  <c r="O2121" i="1"/>
  <c r="O2122" i="1"/>
  <c r="O2123" i="1"/>
  <c r="O2114" i="1"/>
  <c r="J2113" i="1" l="1"/>
  <c r="G2113" i="1"/>
  <c r="H2113" i="1"/>
  <c r="F2113" i="1"/>
  <c r="O2113" i="1"/>
  <c r="G2148" i="1"/>
  <c r="F2148" i="1"/>
  <c r="H2148" i="1"/>
  <c r="J2148" i="1"/>
  <c r="O2148" i="1"/>
  <c r="J2061" i="1"/>
  <c r="J2056" i="1"/>
  <c r="J2055" i="1" s="1"/>
  <c r="H2061" i="1"/>
  <c r="H2056" i="1"/>
  <c r="F2061" i="1"/>
  <c r="F2056" i="1"/>
  <c r="F2055" i="1" s="1"/>
  <c r="H2057" i="1"/>
  <c r="O2052" i="1"/>
  <c r="S2051" i="1"/>
  <c r="S2050" i="1"/>
  <c r="S2049" i="1"/>
  <c r="O2051" i="1"/>
  <c r="O2048" i="1"/>
  <c r="G2043" i="1"/>
  <c r="H2043" i="1"/>
  <c r="O2036" i="1"/>
  <c r="O2040" i="1"/>
  <c r="O2035" i="1"/>
  <c r="S2034" i="1"/>
  <c r="S2033" i="1"/>
  <c r="O2034" i="1"/>
  <c r="O2033" i="1"/>
  <c r="O2031" i="1"/>
  <c r="O2030" i="1"/>
  <c r="O2029" i="1"/>
  <c r="O2026" i="1"/>
  <c r="O2025" i="1"/>
  <c r="O2269" i="1"/>
  <c r="O2268" i="1"/>
  <c r="J2044" i="1"/>
  <c r="J2043" i="1"/>
  <c r="J2042" i="1"/>
  <c r="J2026" i="1"/>
  <c r="J2025" i="1"/>
  <c r="H2044" i="1"/>
  <c r="H2042" i="1"/>
  <c r="H2026" i="1"/>
  <c r="H2025" i="1"/>
  <c r="F2052" i="1"/>
  <c r="F2051" i="1"/>
  <c r="F2050" i="1"/>
  <c r="F2049" i="1"/>
  <c r="F2048" i="1"/>
  <c r="F2044" i="1"/>
  <c r="F2042" i="1"/>
  <c r="F2040" i="1"/>
  <c r="F2038" i="1"/>
  <c r="F2036" i="1"/>
  <c r="F2035" i="1"/>
  <c r="F2034" i="1"/>
  <c r="F2033" i="1"/>
  <c r="F2031" i="1"/>
  <c r="F2030" i="1"/>
  <c r="F2029" i="1"/>
  <c r="F2028" i="1"/>
  <c r="F2026" i="1"/>
  <c r="F2025" i="1"/>
  <c r="O2023" i="1"/>
  <c r="O2022" i="1"/>
  <c r="O2020" i="1"/>
  <c r="O2016" i="1"/>
  <c r="O2014" i="1"/>
  <c r="O2012" i="1"/>
  <c r="O2011" i="1"/>
  <c r="O2010" i="1"/>
  <c r="O2007" i="1"/>
  <c r="O2006" i="1"/>
  <c r="O2005" i="1"/>
  <c r="H2055" i="1" l="1"/>
  <c r="O2002" i="1"/>
  <c r="O2242" i="1"/>
  <c r="B2425" i="1"/>
  <c r="S2425" i="1"/>
  <c r="Q2425" i="1"/>
  <c r="M2425" i="1"/>
  <c r="E2425" i="1"/>
  <c r="J2187" i="1"/>
  <c r="J2186" i="1"/>
  <c r="J2185" i="1"/>
  <c r="J2184" i="1"/>
  <c r="J2180" i="1"/>
  <c r="J2179" i="1"/>
  <c r="J2178" i="1"/>
  <c r="H2187" i="1"/>
  <c r="H2183" i="1"/>
  <c r="H2182" i="1"/>
  <c r="H2186" i="1"/>
  <c r="H2185" i="1"/>
  <c r="H2184" i="1"/>
  <c r="H2181" i="1"/>
  <c r="H2180" i="1"/>
  <c r="H2179" i="1"/>
  <c r="H2178" i="1"/>
  <c r="G2187" i="1"/>
  <c r="G2186" i="1"/>
  <c r="G2185" i="1"/>
  <c r="G2184" i="1"/>
  <c r="G2180" i="1"/>
  <c r="G2179" i="1"/>
  <c r="F2187" i="1"/>
  <c r="F2183" i="1"/>
  <c r="F2182" i="1"/>
  <c r="F2186" i="1"/>
  <c r="F2185" i="1"/>
  <c r="F2184" i="1"/>
  <c r="F2181" i="1"/>
  <c r="F2180" i="1"/>
  <c r="F2179" i="1"/>
  <c r="F2178" i="1"/>
  <c r="F2171" i="1"/>
  <c r="O2144" i="1"/>
  <c r="O2143" i="1"/>
  <c r="O2140" i="1"/>
  <c r="O2139" i="1"/>
  <c r="O2137" i="1"/>
  <c r="O2136" i="1"/>
  <c r="O2135" i="1"/>
  <c r="O2134" i="1"/>
  <c r="O2133" i="1"/>
  <c r="O2132" i="1"/>
  <c r="O2130" i="1"/>
  <c r="J2147" i="1"/>
  <c r="J2146" i="1" s="1"/>
  <c r="H2147" i="1"/>
  <c r="H2146" i="1" s="1"/>
  <c r="F2147" i="1"/>
  <c r="F2146" i="1" s="1"/>
  <c r="J2144" i="1"/>
  <c r="J2143" i="1"/>
  <c r="J2142" i="1"/>
  <c r="J2140" i="1"/>
  <c r="J2137" i="1"/>
  <c r="J2136" i="1"/>
  <c r="J2134" i="1"/>
  <c r="J2132" i="1"/>
  <c r="J2131" i="1"/>
  <c r="J2130" i="1"/>
  <c r="H2144" i="1"/>
  <c r="H2143" i="1"/>
  <c r="H2142" i="1"/>
  <c r="H2140" i="1"/>
  <c r="H2137" i="1"/>
  <c r="H2136" i="1"/>
  <c r="H2134" i="1"/>
  <c r="H2132" i="1"/>
  <c r="H2131" i="1"/>
  <c r="H2130" i="1"/>
  <c r="G2144" i="1"/>
  <c r="G2143" i="1"/>
  <c r="G2142" i="1"/>
  <c r="G2140" i="1"/>
  <c r="G2137" i="1"/>
  <c r="G2136" i="1"/>
  <c r="G2134" i="1"/>
  <c r="G2132" i="1"/>
  <c r="G2131" i="1"/>
  <c r="G2130" i="1"/>
  <c r="F2144" i="1"/>
  <c r="F2143" i="1"/>
  <c r="F2142" i="1"/>
  <c r="F2140" i="1"/>
  <c r="F2137" i="1"/>
  <c r="F2136" i="1"/>
  <c r="F2134" i="1"/>
  <c r="F2132" i="1"/>
  <c r="F2131" i="1"/>
  <c r="F2130" i="1"/>
  <c r="D2425" i="1" l="1"/>
  <c r="H2169" i="1"/>
  <c r="F2129" i="1"/>
  <c r="G2169" i="1"/>
  <c r="J2129" i="1"/>
  <c r="F2169" i="1"/>
  <c r="H2129" i="1"/>
  <c r="J2169" i="1"/>
  <c r="G2129" i="1"/>
  <c r="O2129" i="1"/>
  <c r="S2139" i="1"/>
  <c r="Q2139" i="1"/>
  <c r="E2139" i="1"/>
  <c r="B2139" i="1"/>
  <c r="S2135" i="1"/>
  <c r="Q2135" i="1"/>
  <c r="E2135" i="1"/>
  <c r="B2135" i="1"/>
  <c r="S2133" i="1"/>
  <c r="Q2133" i="1"/>
  <c r="E2133" i="1"/>
  <c r="B2133" i="1"/>
  <c r="O2111" i="1"/>
  <c r="O2106" i="1"/>
  <c r="O2104" i="1"/>
  <c r="O2103" i="1"/>
  <c r="O2100" i="1"/>
  <c r="O2099" i="1"/>
  <c r="O2098" i="1"/>
  <c r="J2111" i="1"/>
  <c r="J2106" i="1"/>
  <c r="J2104" i="1"/>
  <c r="J2103" i="1"/>
  <c r="J2102" i="1"/>
  <c r="J2101" i="1"/>
  <c r="J2100" i="1"/>
  <c r="J2099" i="1"/>
  <c r="J2098" i="1"/>
  <c r="I2111" i="1"/>
  <c r="I2106" i="1"/>
  <c r="I2104" i="1"/>
  <c r="I2103" i="1"/>
  <c r="I2102" i="1"/>
  <c r="I2101" i="1"/>
  <c r="I2100" i="1"/>
  <c r="I2099" i="1"/>
  <c r="I2098" i="1"/>
  <c r="H2111" i="1"/>
  <c r="H2106" i="1"/>
  <c r="H2104" i="1"/>
  <c r="H2103" i="1"/>
  <c r="H2102" i="1"/>
  <c r="H2101" i="1"/>
  <c r="H2100" i="1"/>
  <c r="H2099" i="1"/>
  <c r="H2098" i="1"/>
  <c r="G2111" i="1"/>
  <c r="G2106" i="1"/>
  <c r="G2104" i="1"/>
  <c r="G2103" i="1"/>
  <c r="G2102" i="1"/>
  <c r="G2101" i="1"/>
  <c r="G2100" i="1"/>
  <c r="G2099" i="1"/>
  <c r="G2098" i="1"/>
  <c r="F2111" i="1"/>
  <c r="F2106" i="1"/>
  <c r="F2104" i="1"/>
  <c r="F2103" i="1"/>
  <c r="F2102" i="1"/>
  <c r="F2101" i="1"/>
  <c r="F2100" i="1"/>
  <c r="F2099" i="1"/>
  <c r="F2098" i="1"/>
  <c r="O1990" i="1"/>
  <c r="O1989" i="1"/>
  <c r="O1991" i="1"/>
  <c r="O1988" i="1"/>
  <c r="O1986" i="1"/>
  <c r="O1984" i="1"/>
  <c r="Q1984" i="1"/>
  <c r="S1984" i="1"/>
  <c r="O1985" i="1"/>
  <c r="Q1985" i="1"/>
  <c r="S1985" i="1"/>
  <c r="O1983" i="1"/>
  <c r="O1982" i="1"/>
  <c r="O1977" i="1"/>
  <c r="O1975" i="1"/>
  <c r="O1974" i="1"/>
  <c r="O1972" i="1"/>
  <c r="F2054" i="1"/>
  <c r="F2053" i="1" s="1"/>
  <c r="J2024" i="1"/>
  <c r="J2023" i="1"/>
  <c r="J2022" i="1"/>
  <c r="J2020" i="1"/>
  <c r="J2019" i="1"/>
  <c r="J2018" i="1"/>
  <c r="J2016" i="1"/>
  <c r="J2012" i="1"/>
  <c r="J2011" i="1"/>
  <c r="J2010" i="1"/>
  <c r="J2008" i="1"/>
  <c r="J2007" i="1"/>
  <c r="J2006" i="1"/>
  <c r="J2005" i="1"/>
  <c r="I2024" i="1"/>
  <c r="I2023" i="1"/>
  <c r="I2022" i="1"/>
  <c r="I2020" i="1"/>
  <c r="I2019" i="1"/>
  <c r="I2016" i="1"/>
  <c r="I2010" i="1"/>
  <c r="I2008" i="1"/>
  <c r="I2007" i="1"/>
  <c r="I2006" i="1"/>
  <c r="I2005" i="1"/>
  <c r="H2024" i="1"/>
  <c r="H2023" i="1"/>
  <c r="H2022" i="1"/>
  <c r="H2020" i="1"/>
  <c r="H2019" i="1"/>
  <c r="H2018" i="1"/>
  <c r="H2016" i="1"/>
  <c r="H2012" i="1"/>
  <c r="H2011" i="1"/>
  <c r="H2010" i="1"/>
  <c r="H2008" i="1"/>
  <c r="H2007" i="1"/>
  <c r="H2006" i="1"/>
  <c r="H2005" i="1"/>
  <c r="G2024" i="1"/>
  <c r="G2023" i="1"/>
  <c r="G2022" i="1"/>
  <c r="G2020" i="1"/>
  <c r="G2019" i="1"/>
  <c r="G2018" i="1"/>
  <c r="G2016" i="1"/>
  <c r="G2012" i="1"/>
  <c r="G2011" i="1"/>
  <c r="G2010" i="1"/>
  <c r="G2008" i="1"/>
  <c r="G2007" i="1"/>
  <c r="G2006" i="1"/>
  <c r="G2005" i="1"/>
  <c r="F2023" i="1"/>
  <c r="F2022" i="1"/>
  <c r="F2020" i="1"/>
  <c r="F2019" i="1"/>
  <c r="F2018" i="1"/>
  <c r="F2016" i="1"/>
  <c r="F2012" i="1"/>
  <c r="F2011" i="1"/>
  <c r="F2010" i="1"/>
  <c r="F2008" i="1"/>
  <c r="F2007" i="1"/>
  <c r="F2006" i="1"/>
  <c r="F2005" i="1"/>
  <c r="D2133" i="1" l="1"/>
  <c r="D2135" i="1"/>
  <c r="D2139" i="1"/>
  <c r="I2097" i="1"/>
  <c r="H2097" i="1"/>
  <c r="I2002" i="1"/>
  <c r="G2097" i="1"/>
  <c r="H2002" i="1"/>
  <c r="J2002" i="1"/>
  <c r="F2097" i="1"/>
  <c r="J2097" i="1"/>
  <c r="F2002" i="1"/>
  <c r="G2002" i="1"/>
  <c r="O2097" i="1"/>
  <c r="O1965" i="1"/>
  <c r="O1964" i="1"/>
  <c r="O1962" i="1"/>
  <c r="O1998" i="1"/>
  <c r="O1997" i="1"/>
  <c r="O1996" i="1"/>
  <c r="O1960" i="1"/>
  <c r="O1953" i="1"/>
  <c r="M1240" i="1"/>
  <c r="M1193" i="1" s="1"/>
  <c r="M1950" i="1"/>
  <c r="M1902" i="1" s="1"/>
  <c r="O1946" i="1"/>
  <c r="O1947" i="1"/>
  <c r="O1945" i="1"/>
  <c r="O1940" i="1"/>
  <c r="O1939" i="1"/>
  <c r="O1938" i="1"/>
  <c r="O1937" i="1"/>
  <c r="O1936" i="1"/>
  <c r="O1930" i="1"/>
  <c r="O1929" i="1"/>
  <c r="O1924" i="1"/>
  <c r="O1923" i="1"/>
  <c r="O1922" i="1"/>
  <c r="O1917" i="1"/>
  <c r="O1918" i="1"/>
  <c r="O1914" i="1"/>
  <c r="O1913" i="1"/>
  <c r="O1910" i="1"/>
  <c r="O1911" i="1"/>
  <c r="O1909" i="1"/>
  <c r="O1908" i="1"/>
  <c r="O1907" i="1"/>
  <c r="O1906" i="1"/>
  <c r="O1905" i="1"/>
  <c r="O1904" i="1"/>
  <c r="O1903" i="1"/>
  <c r="J1998" i="1"/>
  <c r="J1997" i="1"/>
  <c r="J1986" i="1"/>
  <c r="J1985" i="1"/>
  <c r="J1984" i="1"/>
  <c r="J1983" i="1"/>
  <c r="J1982" i="1"/>
  <c r="J1975" i="1"/>
  <c r="J1972" i="1"/>
  <c r="J1965" i="1"/>
  <c r="J1964" i="1"/>
  <c r="J1971" i="1"/>
  <c r="J1970" i="1"/>
  <c r="J1968" i="1"/>
  <c r="J1967" i="1"/>
  <c r="J1963" i="1"/>
  <c r="J1962" i="1"/>
  <c r="J1966" i="1"/>
  <c r="J1960" i="1"/>
  <c r="J1240" i="1"/>
  <c r="J1959" i="1"/>
  <c r="J1954" i="1"/>
  <c r="J1953" i="1"/>
  <c r="J1950" i="1"/>
  <c r="J1949" i="1"/>
  <c r="J1946" i="1"/>
  <c r="J1945" i="1"/>
  <c r="J1943" i="1"/>
  <c r="J1940" i="1"/>
  <c r="J1935" i="1"/>
  <c r="J1934" i="1"/>
  <c r="J1939" i="1"/>
  <c r="J1938" i="1"/>
  <c r="J1937" i="1"/>
  <c r="J1936" i="1"/>
  <c r="J1931" i="1"/>
  <c r="J1930" i="1"/>
  <c r="J1929" i="1"/>
  <c r="J1927" i="1"/>
  <c r="J1924" i="1"/>
  <c r="J1923" i="1"/>
  <c r="J1922" i="1"/>
  <c r="J1921" i="1"/>
  <c r="J1917" i="1"/>
  <c r="J1916" i="1"/>
  <c r="J1918" i="1"/>
  <c r="J1914" i="1"/>
  <c r="J1913" i="1"/>
  <c r="J1912" i="1"/>
  <c r="J1911" i="1"/>
  <c r="J1910" i="1"/>
  <c r="J1909" i="1"/>
  <c r="J1908" i="1"/>
  <c r="J1907" i="1"/>
  <c r="J1906" i="1"/>
  <c r="J1905" i="1"/>
  <c r="J1903" i="1"/>
  <c r="I1965" i="1"/>
  <c r="I1964" i="1"/>
  <c r="I1971" i="1"/>
  <c r="I1970" i="1"/>
  <c r="I1968" i="1"/>
  <c r="I1967" i="1"/>
  <c r="I1963" i="1"/>
  <c r="I1962" i="1"/>
  <c r="I1966" i="1"/>
  <c r="I1240" i="1"/>
  <c r="I1959" i="1"/>
  <c r="I1954" i="1"/>
  <c r="I1953" i="1"/>
  <c r="I1946" i="1"/>
  <c r="I1945" i="1"/>
  <c r="I1943" i="1"/>
  <c r="I1940" i="1"/>
  <c r="I1935" i="1"/>
  <c r="I1934" i="1"/>
  <c r="I1939" i="1"/>
  <c r="I1938" i="1"/>
  <c r="I1937" i="1"/>
  <c r="I1936" i="1"/>
  <c r="I1931" i="1"/>
  <c r="I1930" i="1"/>
  <c r="I1927" i="1"/>
  <c r="I1924" i="1"/>
  <c r="I1923" i="1"/>
  <c r="I1922" i="1"/>
  <c r="I1921" i="1"/>
  <c r="I1917" i="1"/>
  <c r="I1916" i="1"/>
  <c r="I1918" i="1"/>
  <c r="I1913" i="1"/>
  <c r="I1912" i="1"/>
  <c r="I1911" i="1"/>
  <c r="I1910" i="1"/>
  <c r="I1909" i="1"/>
  <c r="I1906" i="1"/>
  <c r="I1905" i="1"/>
  <c r="I1903" i="1"/>
  <c r="H1998" i="1"/>
  <c r="H1997" i="1"/>
  <c r="H1986" i="1"/>
  <c r="H1985" i="1"/>
  <c r="H1984" i="1"/>
  <c r="H1983" i="1"/>
  <c r="H1982" i="1"/>
  <c r="H1975" i="1"/>
  <c r="H1972" i="1"/>
  <c r="H1965" i="1"/>
  <c r="H1964" i="1"/>
  <c r="H1971" i="1"/>
  <c r="H1970" i="1"/>
  <c r="H1968" i="1"/>
  <c r="H1967" i="1"/>
  <c r="H1963" i="1"/>
  <c r="H1962" i="1"/>
  <c r="H1966" i="1"/>
  <c r="H1960" i="1"/>
  <c r="H1240" i="1"/>
  <c r="H1959" i="1"/>
  <c r="H1954" i="1"/>
  <c r="H1953" i="1"/>
  <c r="H1950" i="1"/>
  <c r="H1949" i="1"/>
  <c r="H1946" i="1"/>
  <c r="H1945" i="1"/>
  <c r="H1943" i="1"/>
  <c r="H1940" i="1"/>
  <c r="H1935" i="1"/>
  <c r="H1934" i="1"/>
  <c r="H1939" i="1"/>
  <c r="H1938" i="1"/>
  <c r="H1937" i="1"/>
  <c r="H1936" i="1"/>
  <c r="H1931" i="1"/>
  <c r="H1930" i="1"/>
  <c r="H1929" i="1"/>
  <c r="H1927" i="1"/>
  <c r="H1924" i="1"/>
  <c r="H1923" i="1"/>
  <c r="H1922" i="1"/>
  <c r="H1921" i="1"/>
  <c r="H1917" i="1"/>
  <c r="H1916" i="1"/>
  <c r="H1918" i="1"/>
  <c r="H1914" i="1"/>
  <c r="H1913" i="1"/>
  <c r="H1912" i="1"/>
  <c r="H1911" i="1"/>
  <c r="H1910" i="1"/>
  <c r="H1909" i="1"/>
  <c r="H1908" i="1"/>
  <c r="H1907" i="1"/>
  <c r="H1906" i="1"/>
  <c r="H1905" i="1"/>
  <c r="H1903" i="1"/>
  <c r="G1988" i="1"/>
  <c r="G1986" i="1"/>
  <c r="G1985" i="1"/>
  <c r="G1984" i="1"/>
  <c r="G1983" i="1"/>
  <c r="G1982" i="1"/>
  <c r="G1977" i="1"/>
  <c r="G1975" i="1"/>
  <c r="G1974" i="1"/>
  <c r="G1972" i="1"/>
  <c r="G1965" i="1"/>
  <c r="G1964" i="1"/>
  <c r="G1971" i="1"/>
  <c r="G1970" i="1"/>
  <c r="G1968" i="1"/>
  <c r="G1967" i="1"/>
  <c r="G1963" i="1"/>
  <c r="G1962" i="1"/>
  <c r="G1966" i="1"/>
  <c r="G1960" i="1"/>
  <c r="G1240" i="1"/>
  <c r="G1959" i="1"/>
  <c r="G1954" i="1"/>
  <c r="G1953" i="1"/>
  <c r="G1950" i="1"/>
  <c r="G1949" i="1"/>
  <c r="G1947" i="1"/>
  <c r="G1946" i="1"/>
  <c r="G1945" i="1"/>
  <c r="G1943" i="1"/>
  <c r="G1940" i="1"/>
  <c r="G1935" i="1"/>
  <c r="G1934" i="1"/>
  <c r="G1939" i="1"/>
  <c r="G1938" i="1"/>
  <c r="G1937" i="1"/>
  <c r="G1936" i="1"/>
  <c r="G1931" i="1"/>
  <c r="G1930" i="1"/>
  <c r="G1929" i="1"/>
  <c r="G1927" i="1"/>
  <c r="G1924" i="1"/>
  <c r="G1923" i="1"/>
  <c r="G1922" i="1"/>
  <c r="G1921" i="1"/>
  <c r="G1917" i="1"/>
  <c r="G1916" i="1"/>
  <c r="G1918" i="1"/>
  <c r="G1913" i="1"/>
  <c r="G1912" i="1"/>
  <c r="G1911" i="1"/>
  <c r="G1910" i="1"/>
  <c r="G1909" i="1"/>
  <c r="G1906" i="1"/>
  <c r="G1905" i="1"/>
  <c r="G1903" i="1"/>
  <c r="F1998" i="1"/>
  <c r="F1997" i="1"/>
  <c r="F1996" i="1"/>
  <c r="F1994" i="1"/>
  <c r="F1990" i="1"/>
  <c r="F1972" i="1"/>
  <c r="F1989" i="1"/>
  <c r="F1991" i="1"/>
  <c r="F1988" i="1"/>
  <c r="F1986" i="1"/>
  <c r="F1985" i="1"/>
  <c r="F1984" i="1"/>
  <c r="F1983" i="1"/>
  <c r="F1982" i="1"/>
  <c r="F1977" i="1"/>
  <c r="F1975" i="1"/>
  <c r="F1974" i="1"/>
  <c r="F1973" i="1"/>
  <c r="F1965" i="1"/>
  <c r="F1964" i="1"/>
  <c r="F1971" i="1"/>
  <c r="F1970" i="1"/>
  <c r="F1968" i="1"/>
  <c r="F1967" i="1"/>
  <c r="F1963" i="1"/>
  <c r="F1962" i="1"/>
  <c r="F1966" i="1"/>
  <c r="F1960" i="1"/>
  <c r="F1240" i="1"/>
  <c r="F1959" i="1"/>
  <c r="F1954" i="1"/>
  <c r="F1953" i="1"/>
  <c r="F1950" i="1"/>
  <c r="F1949" i="1"/>
  <c r="F1946" i="1"/>
  <c r="F1945" i="1"/>
  <c r="F1943" i="1"/>
  <c r="F1940" i="1"/>
  <c r="F1935" i="1"/>
  <c r="F1934" i="1"/>
  <c r="F1939" i="1"/>
  <c r="F1938" i="1"/>
  <c r="F1937" i="1"/>
  <c r="F1936" i="1"/>
  <c r="F1931" i="1"/>
  <c r="F1930" i="1"/>
  <c r="F1929" i="1"/>
  <c r="F1927" i="1"/>
  <c r="F1924" i="1"/>
  <c r="F1923" i="1"/>
  <c r="F1922" i="1"/>
  <c r="F1921" i="1"/>
  <c r="F1917" i="1"/>
  <c r="F1916" i="1"/>
  <c r="F1918" i="1"/>
  <c r="F1914" i="1"/>
  <c r="F1913" i="1"/>
  <c r="F1912" i="1"/>
  <c r="F1911" i="1"/>
  <c r="F1910" i="1"/>
  <c r="F1909" i="1"/>
  <c r="F1908" i="1"/>
  <c r="F1907" i="1"/>
  <c r="F1906" i="1"/>
  <c r="F1905" i="1"/>
  <c r="F1903" i="1"/>
  <c r="H1902" i="1" l="1"/>
  <c r="J1902" i="1"/>
  <c r="G1902" i="1"/>
  <c r="I1902" i="1"/>
  <c r="F1902" i="1"/>
  <c r="O1902" i="1"/>
  <c r="E1903" i="1"/>
  <c r="O1898" i="1"/>
  <c r="O1895" i="1"/>
  <c r="O1896" i="1"/>
  <c r="O1897" i="1"/>
  <c r="O1900" i="1"/>
  <c r="O1901" i="1"/>
  <c r="O1894" i="1"/>
  <c r="O1893" i="1"/>
  <c r="J1901" i="1"/>
  <c r="J1900" i="1"/>
  <c r="J1897" i="1"/>
  <c r="J1896" i="1"/>
  <c r="J1895" i="1"/>
  <c r="J1894" i="1"/>
  <c r="J1893" i="1"/>
  <c r="H1901" i="1"/>
  <c r="H1900" i="1"/>
  <c r="H1897" i="1"/>
  <c r="H1896" i="1"/>
  <c r="H1895" i="1"/>
  <c r="H1894" i="1"/>
  <c r="H1893" i="1"/>
  <c r="G1900" i="1"/>
  <c r="G1897" i="1"/>
  <c r="G1896" i="1"/>
  <c r="G1895" i="1"/>
  <c r="G1894" i="1"/>
  <c r="G1893" i="1"/>
  <c r="F1901" i="1"/>
  <c r="F1900" i="1"/>
  <c r="F1897" i="1"/>
  <c r="F1896" i="1"/>
  <c r="F1895" i="1"/>
  <c r="F1894" i="1"/>
  <c r="F1893" i="1"/>
  <c r="J1891" i="1" l="1"/>
  <c r="G1891" i="1"/>
  <c r="F1891" i="1"/>
  <c r="H1891" i="1"/>
  <c r="O1891" i="1"/>
  <c r="O1890" i="1" s="1"/>
  <c r="O1880" i="1"/>
  <c r="O1878" i="1"/>
  <c r="J1887" i="1"/>
  <c r="J1885" i="1"/>
  <c r="J1884" i="1"/>
  <c r="J1880" i="1"/>
  <c r="J1879" i="1"/>
  <c r="J1878" i="1"/>
  <c r="J1877" i="1"/>
  <c r="H1887" i="1"/>
  <c r="H1885" i="1"/>
  <c r="H1884" i="1"/>
  <c r="H1880" i="1"/>
  <c r="H1879" i="1"/>
  <c r="H1878" i="1"/>
  <c r="H1877" i="1"/>
  <c r="G1885" i="1"/>
  <c r="G1884" i="1"/>
  <c r="G1880" i="1"/>
  <c r="G1879" i="1"/>
  <c r="G1878" i="1"/>
  <c r="G1877" i="1"/>
  <c r="F1887" i="1"/>
  <c r="F1880" i="1"/>
  <c r="F1878" i="1"/>
  <c r="H1875" i="1" l="1"/>
  <c r="O1875" i="1"/>
  <c r="G1875" i="1"/>
  <c r="J1875" i="1"/>
  <c r="J1874" i="1"/>
  <c r="J1873" i="1"/>
  <c r="J1872" i="1"/>
  <c r="J1871" i="1"/>
  <c r="J1870" i="1"/>
  <c r="I1874" i="1"/>
  <c r="I1873" i="1"/>
  <c r="I1872" i="1"/>
  <c r="I1871" i="1"/>
  <c r="I1870" i="1"/>
  <c r="H1874" i="1"/>
  <c r="H1873" i="1"/>
  <c r="H1872" i="1"/>
  <c r="H1871" i="1"/>
  <c r="H1870" i="1"/>
  <c r="G1874" i="1"/>
  <c r="G1873" i="1"/>
  <c r="G1872" i="1"/>
  <c r="G1871" i="1"/>
  <c r="G1870" i="1"/>
  <c r="F1874" i="1"/>
  <c r="F1873" i="1"/>
  <c r="F1872" i="1"/>
  <c r="F1871" i="1"/>
  <c r="F1870" i="1"/>
  <c r="O1874" i="1"/>
  <c r="O1873" i="1"/>
  <c r="O1872" i="1"/>
  <c r="H1869" i="1" l="1"/>
  <c r="O1869" i="1"/>
  <c r="J1869" i="1"/>
  <c r="G1869" i="1"/>
  <c r="F1869" i="1"/>
  <c r="I1869" i="1"/>
  <c r="O1864" i="1"/>
  <c r="O1862" i="1" s="1"/>
  <c r="J1864" i="1"/>
  <c r="J1863" i="1"/>
  <c r="H1864" i="1"/>
  <c r="H1863" i="1"/>
  <c r="F1864" i="1"/>
  <c r="F1863" i="1"/>
  <c r="J1860" i="1"/>
  <c r="J1856" i="1" s="1"/>
  <c r="H1860" i="1"/>
  <c r="H1856" i="1" s="1"/>
  <c r="G1860" i="1"/>
  <c r="G1856" i="1" s="1"/>
  <c r="F1860" i="1"/>
  <c r="F1859" i="1"/>
  <c r="F1858" i="1"/>
  <c r="F1857" i="1"/>
  <c r="S1861" i="1"/>
  <c r="J1851" i="1"/>
  <c r="J1848" i="1"/>
  <c r="J1847" i="1"/>
  <c r="J1846" i="1"/>
  <c r="J1845" i="1"/>
  <c r="J1844" i="1"/>
  <c r="J1843" i="1"/>
  <c r="J1842" i="1"/>
  <c r="H1851" i="1"/>
  <c r="H1850" i="1"/>
  <c r="H1848" i="1"/>
  <c r="H1847" i="1"/>
  <c r="H1846" i="1"/>
  <c r="H1845" i="1"/>
  <c r="H1844" i="1"/>
  <c r="H1843" i="1"/>
  <c r="H1842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O1854" i="1"/>
  <c r="O1853" i="1"/>
  <c r="O1852" i="1"/>
  <c r="O1851" i="1"/>
  <c r="O1848" i="1"/>
  <c r="O1847" i="1"/>
  <c r="O1843" i="1"/>
  <c r="O1844" i="1"/>
  <c r="O1845" i="1"/>
  <c r="O1842" i="1"/>
  <c r="O1841" i="1"/>
  <c r="J1840" i="1"/>
  <c r="H1840" i="1"/>
  <c r="G1840" i="1"/>
  <c r="F1840" i="1"/>
  <c r="O1839" i="1"/>
  <c r="H1839" i="1"/>
  <c r="G1839" i="1"/>
  <c r="G1837" i="1" s="1"/>
  <c r="F1839" i="1"/>
  <c r="F1838" i="1"/>
  <c r="O1833" i="1"/>
  <c r="O1832" i="1"/>
  <c r="O1834" i="1"/>
  <c r="O1828" i="1"/>
  <c r="O1827" i="1"/>
  <c r="J1833" i="1"/>
  <c r="J1832" i="1"/>
  <c r="J1831" i="1"/>
  <c r="J1830" i="1"/>
  <c r="J1834" i="1"/>
  <c r="J1829" i="1"/>
  <c r="J1828" i="1"/>
  <c r="I1833" i="1"/>
  <c r="I1832" i="1"/>
  <c r="I1831" i="1"/>
  <c r="I1830" i="1"/>
  <c r="I1834" i="1"/>
  <c r="I1829" i="1"/>
  <c r="I1828" i="1"/>
  <c r="H1833" i="1"/>
  <c r="H1832" i="1"/>
  <c r="H1831" i="1"/>
  <c r="H1830" i="1"/>
  <c r="H1834" i="1"/>
  <c r="H1829" i="1"/>
  <c r="H1828" i="1"/>
  <c r="G1833" i="1"/>
  <c r="G1832" i="1"/>
  <c r="G1831" i="1"/>
  <c r="G1830" i="1"/>
  <c r="G1834" i="1"/>
  <c r="G1829" i="1"/>
  <c r="G1828" i="1"/>
  <c r="F1833" i="1"/>
  <c r="F1832" i="1"/>
  <c r="F1834" i="1"/>
  <c r="J1827" i="1"/>
  <c r="I1827" i="1"/>
  <c r="H1827" i="1"/>
  <c r="G1827" i="1"/>
  <c r="F1828" i="1"/>
  <c r="F1827" i="1"/>
  <c r="J1826" i="1"/>
  <c r="J1825" i="1"/>
  <c r="J1824" i="1"/>
  <c r="H1826" i="1"/>
  <c r="H1825" i="1"/>
  <c r="H1824" i="1"/>
  <c r="F1826" i="1"/>
  <c r="F1825" i="1"/>
  <c r="F1824" i="1"/>
  <c r="O1826" i="1"/>
  <c r="O1825" i="1"/>
  <c r="O1824" i="1"/>
  <c r="O1823" i="1"/>
  <c r="O1822" i="1"/>
  <c r="J1822" i="1"/>
  <c r="J1821" i="1"/>
  <c r="J1820" i="1"/>
  <c r="J1819" i="1"/>
  <c r="H1822" i="1"/>
  <c r="H1821" i="1"/>
  <c r="H1820" i="1"/>
  <c r="H1819" i="1"/>
  <c r="G1822" i="1"/>
  <c r="G1821" i="1"/>
  <c r="G1820" i="1"/>
  <c r="G1819" i="1"/>
  <c r="F1822" i="1"/>
  <c r="F1821" i="1"/>
  <c r="F1820" i="1"/>
  <c r="F1819" i="1"/>
  <c r="O1818" i="1"/>
  <c r="J1818" i="1"/>
  <c r="H1818" i="1"/>
  <c r="F1818" i="1"/>
  <c r="J1817" i="1"/>
  <c r="H1817" i="1"/>
  <c r="O1817" i="1"/>
  <c r="J1816" i="1"/>
  <c r="J1815" i="1"/>
  <c r="J1814" i="1"/>
  <c r="H1816" i="1"/>
  <c r="H1815" i="1"/>
  <c r="H1814" i="1"/>
  <c r="F1817" i="1"/>
  <c r="F1816" i="1"/>
  <c r="F1815" i="1"/>
  <c r="F1814" i="1"/>
  <c r="O1815" i="1"/>
  <c r="O1816" i="1"/>
  <c r="O1814" i="1"/>
  <c r="J1804" i="1"/>
  <c r="J1803" i="1"/>
  <c r="J1802" i="1"/>
  <c r="J1801" i="1"/>
  <c r="J1800" i="1"/>
  <c r="J1799" i="1"/>
  <c r="J1798" i="1"/>
  <c r="H1804" i="1"/>
  <c r="H1803" i="1"/>
  <c r="H1802" i="1"/>
  <c r="H1801" i="1"/>
  <c r="H1800" i="1"/>
  <c r="H1799" i="1"/>
  <c r="H1798" i="1"/>
  <c r="G1804" i="1"/>
  <c r="G1803" i="1"/>
  <c r="G1802" i="1"/>
  <c r="G1801" i="1"/>
  <c r="G1800" i="1"/>
  <c r="G1799" i="1"/>
  <c r="G1798" i="1"/>
  <c r="F1804" i="1"/>
  <c r="F1803" i="1"/>
  <c r="F1802" i="1"/>
  <c r="F1801" i="1"/>
  <c r="F1800" i="1"/>
  <c r="F1799" i="1"/>
  <c r="F1798" i="1"/>
  <c r="J1797" i="1"/>
  <c r="H1797" i="1"/>
  <c r="F1797" i="1"/>
  <c r="J1811" i="1"/>
  <c r="J1813" i="1"/>
  <c r="J1812" i="1"/>
  <c r="I1813" i="1"/>
  <c r="I1812" i="1"/>
  <c r="H1813" i="1"/>
  <c r="H1812" i="1"/>
  <c r="H1811" i="1"/>
  <c r="G1813" i="1"/>
  <c r="G1812" i="1"/>
  <c r="G1811" i="1"/>
  <c r="F1813" i="1"/>
  <c r="F1812" i="1"/>
  <c r="F1811" i="1"/>
  <c r="O1813" i="1"/>
  <c r="O1812" i="1"/>
  <c r="O1811" i="1"/>
  <c r="J1810" i="1"/>
  <c r="H1810" i="1"/>
  <c r="G1810" i="1"/>
  <c r="F1810" i="1"/>
  <c r="O1808" i="1"/>
  <c r="O1807" i="1"/>
  <c r="J1806" i="1"/>
  <c r="J1805" i="1"/>
  <c r="H1806" i="1"/>
  <c r="H1805" i="1"/>
  <c r="O1806" i="1"/>
  <c r="O1805" i="1"/>
  <c r="F1806" i="1"/>
  <c r="F1805" i="1"/>
  <c r="O1796" i="1"/>
  <c r="J1795" i="1"/>
  <c r="J1794" i="1"/>
  <c r="J1793" i="1"/>
  <c r="J1792" i="1"/>
  <c r="J1791" i="1"/>
  <c r="H1795" i="1"/>
  <c r="H1794" i="1"/>
  <c r="H1793" i="1"/>
  <c r="H1792" i="1"/>
  <c r="H1791" i="1"/>
  <c r="F1795" i="1"/>
  <c r="F1794" i="1"/>
  <c r="F1793" i="1"/>
  <c r="F1792" i="1"/>
  <c r="F1791" i="1"/>
  <c r="O1792" i="1"/>
  <c r="O1791" i="1"/>
  <c r="O1785" i="1"/>
  <c r="O1784" i="1"/>
  <c r="O1783" i="1"/>
  <c r="O1773" i="1"/>
  <c r="O1766" i="1"/>
  <c r="O1764" i="1"/>
  <c r="O1760" i="1"/>
  <c r="O1763" i="1"/>
  <c r="O1702" i="1"/>
  <c r="O1699" i="1"/>
  <c r="O1749" i="1"/>
  <c r="O837" i="1"/>
  <c r="O1747" i="1"/>
  <c r="O1752" i="1"/>
  <c r="O1751" i="1"/>
  <c r="O1750" i="1"/>
  <c r="O1746" i="1"/>
  <c r="O1745" i="1"/>
  <c r="O1711" i="1"/>
  <c r="O1709" i="1"/>
  <c r="O1708" i="1"/>
  <c r="O1687" i="1"/>
  <c r="O1670" i="1"/>
  <c r="O1659" i="1"/>
  <c r="O1658" i="1"/>
  <c r="O1657" i="1"/>
  <c r="O1656" i="1"/>
  <c r="O1655" i="1"/>
  <c r="O1641" i="1"/>
  <c r="O1631" i="1"/>
  <c r="O1630" i="1"/>
  <c r="O1623" i="1"/>
  <c r="O1619" i="1"/>
  <c r="O1618" i="1"/>
  <c r="O1617" i="1"/>
  <c r="O1612" i="1"/>
  <c r="O1611" i="1"/>
  <c r="O1605" i="1"/>
  <c r="O1581" i="1"/>
  <c r="O1574" i="1"/>
  <c r="O1557" i="1"/>
  <c r="O1556" i="1"/>
  <c r="O1555" i="1"/>
  <c r="O1550" i="1"/>
  <c r="O1549" i="1"/>
  <c r="O1553" i="1"/>
  <c r="O1564" i="1"/>
  <c r="S1887" i="1"/>
  <c r="S1880" i="1"/>
  <c r="Q1880" i="1"/>
  <c r="S1864" i="1"/>
  <c r="Q1864" i="1"/>
  <c r="S1863" i="1"/>
  <c r="Q1863" i="1"/>
  <c r="S1860" i="1"/>
  <c r="Q1860" i="1"/>
  <c r="S1859" i="1"/>
  <c r="Q1859" i="1"/>
  <c r="S1858" i="1"/>
  <c r="Q1858" i="1"/>
  <c r="S1857" i="1"/>
  <c r="Q1857" i="1"/>
  <c r="S1855" i="1"/>
  <c r="Q1855" i="1"/>
  <c r="S1854" i="1"/>
  <c r="Q1854" i="1"/>
  <c r="S1853" i="1"/>
  <c r="Q1853" i="1"/>
  <c r="S1852" i="1"/>
  <c r="S1851" i="1"/>
  <c r="Q1851" i="1"/>
  <c r="S1848" i="1"/>
  <c r="Q1848" i="1"/>
  <c r="S1847" i="1"/>
  <c r="Q1847" i="1"/>
  <c r="S1846" i="1"/>
  <c r="Q1846" i="1"/>
  <c r="S1845" i="1"/>
  <c r="Q1845" i="1"/>
  <c r="S1844" i="1"/>
  <c r="Q1844" i="1"/>
  <c r="S1843" i="1"/>
  <c r="Q1843" i="1"/>
  <c r="S1842" i="1"/>
  <c r="S1841" i="1"/>
  <c r="S1840" i="1"/>
  <c r="J1836" i="1"/>
  <c r="H1836" i="1"/>
  <c r="S1833" i="1"/>
  <c r="Q1833" i="1"/>
  <c r="S1832" i="1"/>
  <c r="Q1832" i="1"/>
  <c r="S1834" i="1"/>
  <c r="Q1834" i="1"/>
  <c r="S1828" i="1"/>
  <c r="Q1828" i="1"/>
  <c r="S1827" i="1"/>
  <c r="Q1827" i="1"/>
  <c r="S1826" i="1"/>
  <c r="Q1826" i="1"/>
  <c r="S1825" i="1"/>
  <c r="Q1825" i="1"/>
  <c r="S1824" i="1"/>
  <c r="Q1824" i="1"/>
  <c r="H2654" i="1"/>
  <c r="H2616" i="1" s="1"/>
  <c r="S2654" i="1"/>
  <c r="Q2654" i="1"/>
  <c r="B2654" i="1"/>
  <c r="S1821" i="1"/>
  <c r="Q1821" i="1"/>
  <c r="S1820" i="1"/>
  <c r="Q1820" i="1"/>
  <c r="S1819" i="1"/>
  <c r="Q1819" i="1"/>
  <c r="Q1818" i="1"/>
  <c r="S1817" i="1"/>
  <c r="Q1817" i="1"/>
  <c r="S1816" i="1"/>
  <c r="Q1816" i="1"/>
  <c r="S1815" i="1"/>
  <c r="Q1815" i="1"/>
  <c r="S1814" i="1"/>
  <c r="Q1814" i="1"/>
  <c r="S1813" i="1"/>
  <c r="Q1813" i="1"/>
  <c r="S1812" i="1"/>
  <c r="Q1812" i="1"/>
  <c r="Q1811" i="1"/>
  <c r="S1797" i="1"/>
  <c r="Q1797" i="1"/>
  <c r="S1795" i="1"/>
  <c r="Q1795" i="1"/>
  <c r="S1794" i="1"/>
  <c r="Q1794" i="1"/>
  <c r="S1793" i="1"/>
  <c r="Q1793" i="1"/>
  <c r="S1792" i="1"/>
  <c r="Q1792" i="1"/>
  <c r="S1791" i="1"/>
  <c r="Q1791" i="1"/>
  <c r="F1837" i="1" l="1"/>
  <c r="H1790" i="1"/>
  <c r="H1837" i="1"/>
  <c r="I1790" i="1"/>
  <c r="F1856" i="1"/>
  <c r="G1790" i="1"/>
  <c r="J1790" i="1"/>
  <c r="J1837" i="1"/>
  <c r="O1837" i="1"/>
  <c r="S1856" i="1"/>
  <c r="F1862" i="1"/>
  <c r="H1862" i="1"/>
  <c r="J1862" i="1"/>
  <c r="S1862" i="1"/>
  <c r="Q1862" i="1"/>
  <c r="E2654" i="1"/>
  <c r="D2654" i="1" s="1"/>
  <c r="S2614" i="1" l="1"/>
  <c r="Q2614" i="1"/>
  <c r="S1010" i="1"/>
  <c r="Q1010" i="1"/>
  <c r="S1785" i="1"/>
  <c r="Q1785" i="1"/>
  <c r="S1784" i="1"/>
  <c r="Q1784" i="1"/>
  <c r="S1783" i="1"/>
  <c r="Q1783" i="1"/>
  <c r="S974" i="1"/>
  <c r="Q974" i="1"/>
  <c r="S962" i="1"/>
  <c r="Q962" i="1"/>
  <c r="S1777" i="1"/>
  <c r="Q1777" i="1"/>
  <c r="S1776" i="1"/>
  <c r="Q1776" i="1"/>
  <c r="S2604" i="1"/>
  <c r="Q2604" i="1"/>
  <c r="S2603" i="1"/>
  <c r="Q2603" i="1"/>
  <c r="S2602" i="1"/>
  <c r="Q2602" i="1"/>
  <c r="S1780" i="1"/>
  <c r="Q1780" i="1"/>
  <c r="S1779" i="1"/>
  <c r="Q1779" i="1"/>
  <c r="S936" i="1"/>
  <c r="Q936" i="1"/>
  <c r="S2595" i="1"/>
  <c r="Q2595" i="1"/>
  <c r="S916" i="1"/>
  <c r="Q916" i="1"/>
  <c r="S1773" i="1"/>
  <c r="Q1773" i="1"/>
  <c r="S911" i="1"/>
  <c r="Q911" i="1"/>
  <c r="S1766" i="1"/>
  <c r="Q1766" i="1"/>
  <c r="S895" i="1"/>
  <c r="Q895" i="1"/>
  <c r="S2586" i="1"/>
  <c r="Q2586" i="1"/>
  <c r="S1764" i="1"/>
  <c r="Q1764" i="1"/>
  <c r="S1761" i="1"/>
  <c r="Q1761" i="1"/>
  <c r="S2583" i="1"/>
  <c r="Q2583" i="1"/>
  <c r="S1760" i="1"/>
  <c r="Q1760" i="1"/>
  <c r="S1763" i="1"/>
  <c r="Q1763" i="1"/>
  <c r="S1759" i="1"/>
  <c r="Q1759" i="1"/>
  <c r="S1758" i="1"/>
  <c r="Q1758" i="1"/>
  <c r="S868" i="1"/>
  <c r="Q868" i="1"/>
  <c r="S1757" i="1"/>
  <c r="Q1757" i="1"/>
  <c r="S1756" i="1"/>
  <c r="Q1756" i="1"/>
  <c r="S1749" i="1"/>
  <c r="Q1749" i="1"/>
  <c r="S837" i="1"/>
  <c r="Q837" i="1"/>
  <c r="S1747" i="1"/>
  <c r="Q1747" i="1"/>
  <c r="S836" i="1"/>
  <c r="Q836" i="1"/>
  <c r="S1752" i="1"/>
  <c r="Q1752" i="1"/>
  <c r="S1751" i="1"/>
  <c r="Q1751" i="1"/>
  <c r="S1750" i="1"/>
  <c r="Q1750" i="1"/>
  <c r="S1746" i="1"/>
  <c r="Q1746" i="1"/>
  <c r="S1744" i="1"/>
  <c r="Q1744" i="1"/>
  <c r="S1743" i="1"/>
  <c r="Q1743" i="1"/>
  <c r="S1735" i="1"/>
  <c r="Q1735" i="1"/>
  <c r="S1741" i="1"/>
  <c r="Q1741" i="1"/>
  <c r="S1724" i="1"/>
  <c r="Q1724" i="1"/>
  <c r="S1723" i="1"/>
  <c r="Q1723" i="1"/>
  <c r="S2549" i="1"/>
  <c r="Q2549" i="1"/>
  <c r="S2548" i="1"/>
  <c r="Q2548" i="1"/>
  <c r="S2547" i="1"/>
  <c r="Q2547" i="1"/>
  <c r="S1728" i="1"/>
  <c r="Q1728" i="1"/>
  <c r="S1727" i="1"/>
  <c r="Q1727" i="1"/>
  <c r="S1721" i="1"/>
  <c r="Q1721" i="1"/>
  <c r="S1717" i="1"/>
  <c r="Q1717" i="1"/>
  <c r="S1720" i="1"/>
  <c r="Q1720" i="1"/>
  <c r="S1719" i="1"/>
  <c r="Q1719" i="1"/>
  <c r="S1712" i="1"/>
  <c r="Q1712" i="1"/>
  <c r="S2530" i="1"/>
  <c r="Q2530" i="1"/>
  <c r="S1711" i="1"/>
  <c r="Q1711" i="1"/>
  <c r="S1709" i="1"/>
  <c r="Q1709" i="1"/>
  <c r="S1708" i="1"/>
  <c r="Q1708" i="1"/>
  <c r="S2522" i="1"/>
  <c r="Q2522" i="1"/>
  <c r="S1707" i="1"/>
  <c r="Q1707" i="1"/>
  <c r="S1702" i="1"/>
  <c r="Q1702" i="1"/>
  <c r="S2520" i="1"/>
  <c r="Q2520" i="1"/>
  <c r="S2519" i="1"/>
  <c r="Q2519" i="1"/>
  <c r="S1701" i="1"/>
  <c r="Q1701" i="1"/>
  <c r="S1700" i="1"/>
  <c r="Q1700" i="1"/>
  <c r="S2517" i="1"/>
  <c r="Q2517" i="1"/>
  <c r="S1699" i="1"/>
  <c r="Q1699" i="1"/>
  <c r="S1698" i="1"/>
  <c r="Q1698" i="1"/>
  <c r="S1697" i="1"/>
  <c r="Q1697" i="1"/>
  <c r="S1696" i="1"/>
  <c r="Q1696" i="1"/>
  <c r="S2515" i="1"/>
  <c r="Q2515" i="1"/>
  <c r="S1694" i="1"/>
  <c r="Q1694" i="1"/>
  <c r="S1693" i="1"/>
  <c r="Q1693" i="1"/>
  <c r="S2513" i="1"/>
  <c r="Q2513" i="1"/>
  <c r="S1687" i="1"/>
  <c r="Q1687" i="1"/>
  <c r="S2510" i="1"/>
  <c r="Q2510" i="1"/>
  <c r="S1684" i="1"/>
  <c r="Q1684" i="1"/>
  <c r="S1683" i="1"/>
  <c r="Q1683" i="1"/>
  <c r="S1682" i="1"/>
  <c r="Q1682" i="1"/>
  <c r="S1680" i="1"/>
  <c r="Q1680" i="1"/>
  <c r="S1678" i="1"/>
  <c r="Q1678" i="1"/>
  <c r="S1677" i="1"/>
  <c r="Q1677" i="1"/>
  <c r="S1676" i="1"/>
  <c r="Q1676" i="1"/>
  <c r="S1675" i="1"/>
  <c r="Q1675" i="1"/>
  <c r="S1664" i="1"/>
  <c r="Q1664" i="1"/>
  <c r="S1663" i="1"/>
  <c r="Q1663" i="1"/>
  <c r="S1662" i="1"/>
  <c r="Q1662" i="1"/>
  <c r="S1661" i="1"/>
  <c r="Q1661" i="1"/>
  <c r="S2476" i="1"/>
  <c r="Q2476" i="1"/>
  <c r="S2475" i="1"/>
  <c r="Q2475" i="1"/>
  <c r="S2474" i="1"/>
  <c r="Q2474" i="1"/>
  <c r="S2473" i="1" l="1"/>
  <c r="Q2473" i="1"/>
  <c r="S1655" i="1"/>
  <c r="Q1655" i="1"/>
  <c r="S1654" i="1"/>
  <c r="Q1654" i="1"/>
  <c r="S1653" i="1"/>
  <c r="Q1653" i="1"/>
  <c r="S2472" i="1"/>
  <c r="Q2472" i="1"/>
  <c r="S1652" i="1"/>
  <c r="Q1652" i="1"/>
  <c r="S1651" i="1"/>
  <c r="Q1651" i="1"/>
  <c r="S2471" i="1"/>
  <c r="Q2471" i="1"/>
  <c r="S2470" i="1"/>
  <c r="Q2470" i="1"/>
  <c r="S1649" i="1"/>
  <c r="Q1649" i="1"/>
  <c r="S1648" i="1"/>
  <c r="Q1648" i="1"/>
  <c r="S1647" i="1"/>
  <c r="Q1647" i="1"/>
  <c r="S1646" i="1"/>
  <c r="Q1646" i="1"/>
  <c r="S1644" i="1"/>
  <c r="Q1644" i="1"/>
  <c r="S1640" i="1"/>
  <c r="Q1640" i="1"/>
  <c r="S1639" i="1"/>
  <c r="Q1639" i="1"/>
  <c r="S1638" i="1"/>
  <c r="Q1638" i="1"/>
  <c r="S2458" i="1"/>
  <c r="Q2458" i="1"/>
  <c r="S2457" i="1"/>
  <c r="Q2457" i="1"/>
  <c r="S1634" i="1"/>
  <c r="Q1634" i="1"/>
  <c r="S2453" i="1"/>
  <c r="Q2453" i="1"/>
  <c r="S2452" i="1"/>
  <c r="Q2452" i="1"/>
  <c r="S2450" i="1"/>
  <c r="Q2450" i="1"/>
  <c r="S1629" i="1"/>
  <c r="Q1629" i="1"/>
  <c r="S1627" i="1"/>
  <c r="Q1627" i="1"/>
  <c r="S1628" i="1"/>
  <c r="Q1628" i="1"/>
  <c r="S1626" i="1"/>
  <c r="Q1626" i="1"/>
  <c r="S1625" i="1"/>
  <c r="Q1625" i="1"/>
  <c r="S1623" i="1"/>
  <c r="Q1623" i="1"/>
  <c r="S2439" i="1"/>
  <c r="Q2439" i="1"/>
  <c r="S1622" i="1"/>
  <c r="Q1622" i="1"/>
  <c r="S585" i="1"/>
  <c r="Q585" i="1"/>
  <c r="S1621" i="1"/>
  <c r="Q1621" i="1"/>
  <c r="S1619" i="1"/>
  <c r="Q1619" i="1"/>
  <c r="S2429" i="1"/>
  <c r="Q2429" i="1"/>
  <c r="S576" i="1"/>
  <c r="Q576" i="1"/>
  <c r="S574" i="1"/>
  <c r="Q574" i="1"/>
  <c r="S573" i="1"/>
  <c r="Q573" i="1"/>
  <c r="S572" i="1"/>
  <c r="Q572" i="1"/>
  <c r="S570" i="1"/>
  <c r="Q570" i="1"/>
  <c r="S569" i="1"/>
  <c r="Q569" i="1"/>
  <c r="S2427" i="1"/>
  <c r="Q2427" i="1"/>
  <c r="S1616" i="1"/>
  <c r="Q1616" i="1"/>
  <c r="S1615" i="1"/>
  <c r="Q1615" i="1"/>
  <c r="S1614" i="1"/>
  <c r="Q1614" i="1"/>
  <c r="S2421" i="1"/>
  <c r="Q2421" i="1"/>
  <c r="S1613" i="1"/>
  <c r="Q1613" i="1"/>
  <c r="S1609" i="1"/>
  <c r="Q1609" i="1"/>
  <c r="S1610" i="1"/>
  <c r="Q1610" i="1"/>
  <c r="S1604" i="1"/>
  <c r="Q1604" i="1"/>
  <c r="S2420" i="1"/>
  <c r="Q2420" i="1"/>
  <c r="S1606" i="1"/>
  <c r="Q1606" i="1"/>
  <c r="S1605" i="1"/>
  <c r="Q1605" i="1"/>
  <c r="S1601" i="1"/>
  <c r="Q1601" i="1"/>
  <c r="S1603" i="1"/>
  <c r="Q1603" i="1"/>
  <c r="S2416" i="1"/>
  <c r="Q2416" i="1"/>
  <c r="S1598" i="1"/>
  <c r="Q1598" i="1"/>
  <c r="S1597" i="1"/>
  <c r="Q1597" i="1"/>
  <c r="S1595" i="1"/>
  <c r="Q1595" i="1"/>
  <c r="S1593" i="1"/>
  <c r="Q1593" i="1"/>
  <c r="S1592" i="1"/>
  <c r="Q1592" i="1"/>
  <c r="S2409" i="1"/>
  <c r="Q2409" i="1"/>
  <c r="S1590" i="1"/>
  <c r="Q1590" i="1"/>
  <c r="S2408" i="1"/>
  <c r="Q2408" i="1"/>
  <c r="S2406" i="1"/>
  <c r="Q2406" i="1"/>
  <c r="S2405" i="1"/>
  <c r="Q2405" i="1"/>
  <c r="S1586" i="1"/>
  <c r="Q1586" i="1"/>
  <c r="S1585" i="1"/>
  <c r="Q1585" i="1"/>
  <c r="S1584" i="1"/>
  <c r="Q1584" i="1"/>
  <c r="S1583" i="1"/>
  <c r="Q1583" i="1"/>
  <c r="S1580" i="1"/>
  <c r="Q1580" i="1"/>
  <c r="S1577" i="1"/>
  <c r="Q1577" i="1"/>
  <c r="S1573" i="1"/>
  <c r="Q1573" i="1"/>
  <c r="S473" i="1"/>
  <c r="Q473" i="1"/>
  <c r="S472" i="1"/>
  <c r="Q472" i="1"/>
  <c r="S1565" i="1"/>
  <c r="Q1565" i="1"/>
  <c r="S1564" i="1"/>
  <c r="Q1564" i="1"/>
  <c r="S1560" i="1"/>
  <c r="Q1560" i="1"/>
  <c r="S1559" i="1"/>
  <c r="Q1559" i="1"/>
  <c r="S1558" i="1"/>
  <c r="Q1558" i="1"/>
  <c r="S1554" i="1"/>
  <c r="Q1554" i="1"/>
  <c r="S1553" i="1"/>
  <c r="Q1553" i="1"/>
  <c r="S1552" i="1"/>
  <c r="Q1552" i="1"/>
  <c r="S1551" i="1"/>
  <c r="Q1551" i="1"/>
  <c r="S1548" i="1"/>
  <c r="Q1548" i="1"/>
  <c r="S1547" i="1"/>
  <c r="Q1547" i="1"/>
  <c r="S1546" i="1"/>
  <c r="Q1546" i="1"/>
  <c r="S1543" i="1"/>
  <c r="Q1543" i="1"/>
  <c r="S1542" i="1"/>
  <c r="Q1542" i="1"/>
  <c r="O1541" i="1"/>
  <c r="S1540" i="1"/>
  <c r="Q1540" i="1"/>
  <c r="S1539" i="1"/>
  <c r="Q1539" i="1"/>
  <c r="J1380" i="1"/>
  <c r="J1382" i="1"/>
  <c r="J1381" i="1"/>
  <c r="I1380" i="1"/>
  <c r="I1382" i="1"/>
  <c r="I1381" i="1"/>
  <c r="H1380" i="1"/>
  <c r="H1382" i="1"/>
  <c r="H1381" i="1"/>
  <c r="F1380" i="1"/>
  <c r="G1380" i="1"/>
  <c r="G1382" i="1"/>
  <c r="G1381" i="1"/>
  <c r="F1382" i="1"/>
  <c r="F1381" i="1"/>
  <c r="O1375" i="1"/>
  <c r="O1534" i="1" l="1"/>
  <c r="O1533" i="1"/>
  <c r="O1528" i="1"/>
  <c r="O1526" i="1"/>
  <c r="O1529" i="1"/>
  <c r="O1523" i="1" l="1"/>
  <c r="O1520" i="1"/>
  <c r="O1521" i="1"/>
  <c r="O1522" i="1"/>
  <c r="O1519" i="1"/>
  <c r="S1522" i="1" l="1"/>
  <c r="Q1522" i="1"/>
  <c r="S1521" i="1"/>
  <c r="Q1521" i="1"/>
  <c r="S1520" i="1"/>
  <c r="Q1520" i="1"/>
  <c r="S1518" i="1"/>
  <c r="S1517" i="1"/>
  <c r="O1835" i="1"/>
  <c r="O1790" i="1" s="1"/>
  <c r="F1835" i="1"/>
  <c r="F1790" i="1" s="1"/>
  <c r="J1467" i="1"/>
  <c r="J1466" i="1"/>
  <c r="H1467" i="1"/>
  <c r="H1466" i="1"/>
  <c r="G1467" i="1"/>
  <c r="G1466" i="1"/>
  <c r="S1373" i="1"/>
  <c r="O1276" i="1"/>
  <c r="O1184" i="1"/>
  <c r="O1096" i="1" s="1"/>
  <c r="S1165" i="1" l="1"/>
  <c r="Q1165" i="1"/>
  <c r="J1165" i="1"/>
  <c r="H1165" i="1"/>
  <c r="G1165" i="1"/>
  <c r="F1165" i="1"/>
  <c r="B1165" i="1"/>
  <c r="S1184" i="1"/>
  <c r="Q1184" i="1"/>
  <c r="E1184" i="1"/>
  <c r="B1184" i="1"/>
  <c r="J1055" i="1"/>
  <c r="H1055" i="1"/>
  <c r="F1055" i="1"/>
  <c r="Q1055" i="1"/>
  <c r="O1055" i="1"/>
  <c r="B1055" i="1"/>
  <c r="J1046" i="1"/>
  <c r="J1045" i="1" s="1"/>
  <c r="H1046" i="1"/>
  <c r="H1045" i="1" s="1"/>
  <c r="F1046" i="1"/>
  <c r="S1046" i="1"/>
  <c r="Q1046" i="1"/>
  <c r="B1046" i="1"/>
  <c r="F707" i="1"/>
  <c r="S706" i="1"/>
  <c r="Q706" i="1"/>
  <c r="M706" i="1"/>
  <c r="J706" i="1"/>
  <c r="I706" i="1"/>
  <c r="H706" i="1"/>
  <c r="G706" i="1"/>
  <c r="F706" i="1"/>
  <c r="B706" i="1"/>
  <c r="F994" i="1"/>
  <c r="S993" i="1"/>
  <c r="Q993" i="1"/>
  <c r="M993" i="1"/>
  <c r="J993" i="1"/>
  <c r="I993" i="1"/>
  <c r="H993" i="1"/>
  <c r="G993" i="1"/>
  <c r="F993" i="1"/>
  <c r="B993" i="1"/>
  <c r="O445" i="1"/>
  <c r="S445" i="1"/>
  <c r="Q445" i="1"/>
  <c r="E445" i="1"/>
  <c r="B445" i="1"/>
  <c r="O277" i="1"/>
  <c r="S277" i="1"/>
  <c r="Q277" i="1"/>
  <c r="E277" i="1"/>
  <c r="D277" i="1" s="1"/>
  <c r="B277" i="1"/>
  <c r="S1444" i="1"/>
  <c r="Q1444" i="1"/>
  <c r="O1444" i="1"/>
  <c r="E1444" i="1"/>
  <c r="B1444" i="1"/>
  <c r="O255" i="1"/>
  <c r="S255" i="1"/>
  <c r="Q255" i="1"/>
  <c r="E255" i="1"/>
  <c r="B255" i="1"/>
  <c r="O46" i="1"/>
  <c r="S45" i="1"/>
  <c r="Q45" i="1"/>
  <c r="M45" i="1"/>
  <c r="J45" i="1"/>
  <c r="H45" i="1"/>
  <c r="F45" i="1"/>
  <c r="A45" i="1"/>
  <c r="B45" i="1" s="1"/>
  <c r="D445" i="1" l="1"/>
  <c r="D255" i="1"/>
  <c r="D1184" i="1"/>
  <c r="D1444" i="1"/>
  <c r="E45" i="1"/>
  <c r="D45" i="1" s="1"/>
  <c r="E1055" i="1"/>
  <c r="D1055" i="1" s="1"/>
  <c r="E1046" i="1"/>
  <c r="D1046" i="1" s="1"/>
  <c r="E1165" i="1"/>
  <c r="D1165" i="1" s="1"/>
  <c r="E706" i="1"/>
  <c r="D706" i="1" s="1"/>
  <c r="E993" i="1"/>
  <c r="D993" i="1" s="1"/>
  <c r="S1094" i="1" l="1"/>
  <c r="Q1094" i="1"/>
  <c r="O1094" i="1"/>
  <c r="E1094" i="1"/>
  <c r="D1094" i="1" s="1"/>
  <c r="B1094" i="1"/>
  <c r="S1090" i="1"/>
  <c r="Q1090" i="1"/>
  <c r="O1090" i="1"/>
  <c r="E1090" i="1"/>
  <c r="B1090" i="1"/>
  <c r="S1092" i="1"/>
  <c r="Q1092" i="1"/>
  <c r="O1092" i="1"/>
  <c r="E1092" i="1"/>
  <c r="B1092" i="1"/>
  <c r="S1093" i="1"/>
  <c r="Q1093" i="1"/>
  <c r="O1093" i="1"/>
  <c r="E1093" i="1"/>
  <c r="B1093" i="1"/>
  <c r="S1086" i="1"/>
  <c r="Q1086" i="1"/>
  <c r="O1086" i="1"/>
  <c r="E1086" i="1"/>
  <c r="D1086" i="1" s="1"/>
  <c r="B1086" i="1"/>
  <c r="S1087" i="1"/>
  <c r="Q1087" i="1"/>
  <c r="O1087" i="1"/>
  <c r="E1087" i="1"/>
  <c r="B1087" i="1"/>
  <c r="S1084" i="1"/>
  <c r="Q1084" i="1"/>
  <c r="O1084" i="1"/>
  <c r="E1084" i="1"/>
  <c r="B1084" i="1"/>
  <c r="O1095" i="1"/>
  <c r="O1085" i="1"/>
  <c r="J1095" i="1"/>
  <c r="J1075" i="1" s="1"/>
  <c r="I1085" i="1"/>
  <c r="H1095" i="1"/>
  <c r="H1085" i="1"/>
  <c r="G1095" i="1"/>
  <c r="G1085" i="1"/>
  <c r="F1095" i="1"/>
  <c r="F1085" i="1"/>
  <c r="S1079" i="1"/>
  <c r="Q1079" i="1"/>
  <c r="O1079" i="1"/>
  <c r="E1079" i="1"/>
  <c r="B1079" i="1"/>
  <c r="B1095" i="1"/>
  <c r="B1085" i="1"/>
  <c r="S1095" i="1"/>
  <c r="Q1095" i="1"/>
  <c r="S1085" i="1"/>
  <c r="Q1085" i="1"/>
  <c r="O1025" i="1"/>
  <c r="J1025" i="1"/>
  <c r="I1025" i="1"/>
  <c r="H1025" i="1"/>
  <c r="G1025" i="1"/>
  <c r="F1025" i="1"/>
  <c r="S1025" i="1"/>
  <c r="Q1025" i="1"/>
  <c r="B1025" i="1"/>
  <c r="D1093" i="1" l="1"/>
  <c r="D1084" i="1"/>
  <c r="D1092" i="1"/>
  <c r="D1079" i="1"/>
  <c r="D1087" i="1"/>
  <c r="D1090" i="1"/>
  <c r="E1095" i="1"/>
  <c r="D1095" i="1" s="1"/>
  <c r="E1085" i="1"/>
  <c r="D1085" i="1" s="1"/>
  <c r="E1025" i="1"/>
  <c r="D1025" i="1" s="1"/>
  <c r="O1194" i="1"/>
  <c r="S2215" i="1" l="1"/>
  <c r="S2218" i="1"/>
  <c r="S2258" i="1"/>
  <c r="S2275" i="1"/>
  <c r="B2756" i="1"/>
  <c r="B2734" i="1"/>
  <c r="S2756" i="1"/>
  <c r="Q2756" i="1"/>
  <c r="M2756" i="1"/>
  <c r="E2756" i="1"/>
  <c r="S2734" i="1"/>
  <c r="Q2734" i="1"/>
  <c r="M2734" i="1"/>
  <c r="O1058" i="1"/>
  <c r="O1056" i="1"/>
  <c r="J1042" i="1"/>
  <c r="I1042" i="1"/>
  <c r="H1042" i="1"/>
  <c r="G1042" i="1"/>
  <c r="F1042" i="1"/>
  <c r="J1035" i="1"/>
  <c r="J1034" i="1"/>
  <c r="I1035" i="1"/>
  <c r="I1034" i="1"/>
  <c r="H1035" i="1"/>
  <c r="H1034" i="1"/>
  <c r="G1035" i="1"/>
  <c r="G1034" i="1"/>
  <c r="F1035" i="1"/>
  <c r="F1034" i="1"/>
  <c r="J1028" i="1"/>
  <c r="H1028" i="1"/>
  <c r="F1028" i="1"/>
  <c r="B2601" i="1"/>
  <c r="S2601" i="1"/>
  <c r="Q2601" i="1"/>
  <c r="M2601" i="1"/>
  <c r="J2601" i="1"/>
  <c r="H2601" i="1"/>
  <c r="B2600" i="1"/>
  <c r="S2600" i="1"/>
  <c r="Q2600" i="1"/>
  <c r="M2600" i="1"/>
  <c r="M2333" i="1" s="1"/>
  <c r="J2600" i="1"/>
  <c r="H2600" i="1"/>
  <c r="J743" i="1"/>
  <c r="I743" i="1"/>
  <c r="H743" i="1"/>
  <c r="G743" i="1"/>
  <c r="F743" i="1"/>
  <c r="O401" i="1"/>
  <c r="O267" i="1"/>
  <c r="J177" i="1"/>
  <c r="H177" i="1"/>
  <c r="F177" i="1"/>
  <c r="J174" i="1"/>
  <c r="H174" i="1"/>
  <c r="F174" i="1"/>
  <c r="J167" i="1"/>
  <c r="H167" i="1"/>
  <c r="F167" i="1"/>
  <c r="O152" i="1"/>
  <c r="O151" i="1"/>
  <c r="O133" i="1"/>
  <c r="D2756" i="1" l="1"/>
  <c r="O1054" i="1"/>
  <c r="M2713" i="1"/>
  <c r="M1890" i="1" s="1"/>
  <c r="E2734" i="1"/>
  <c r="D2734" i="1" s="1"/>
  <c r="E2601" i="1"/>
  <c r="D2601" i="1" s="1"/>
  <c r="E2600" i="1"/>
  <c r="D2600" i="1" s="1"/>
  <c r="S459" i="1"/>
  <c r="Q459" i="1"/>
  <c r="M459" i="1"/>
  <c r="E459" i="1"/>
  <c r="B459" i="1"/>
  <c r="S592" i="1"/>
  <c r="Q592" i="1"/>
  <c r="M592" i="1"/>
  <c r="E592" i="1"/>
  <c r="B592" i="1"/>
  <c r="S524" i="1"/>
  <c r="Q524" i="1"/>
  <c r="M524" i="1"/>
  <c r="E524" i="1"/>
  <c r="D524" i="1" s="1"/>
  <c r="B524" i="1"/>
  <c r="S683" i="1"/>
  <c r="Q683" i="1"/>
  <c r="M683" i="1"/>
  <c r="E683" i="1"/>
  <c r="B683" i="1"/>
  <c r="S952" i="1"/>
  <c r="Q952" i="1"/>
  <c r="M952" i="1"/>
  <c r="E952" i="1"/>
  <c r="B952" i="1"/>
  <c r="S949" i="1"/>
  <c r="Q949" i="1"/>
  <c r="M949" i="1"/>
  <c r="E949" i="1"/>
  <c r="B949" i="1"/>
  <c r="S925" i="1"/>
  <c r="Q925" i="1"/>
  <c r="M925" i="1"/>
  <c r="E925" i="1"/>
  <c r="B925" i="1"/>
  <c r="S928" i="1"/>
  <c r="Q928" i="1"/>
  <c r="M928" i="1"/>
  <c r="E928" i="1"/>
  <c r="B928" i="1"/>
  <c r="S927" i="1"/>
  <c r="Q927" i="1"/>
  <c r="M927" i="1"/>
  <c r="E927" i="1"/>
  <c r="B927" i="1"/>
  <c r="S909" i="1"/>
  <c r="Q909" i="1"/>
  <c r="M909" i="1"/>
  <c r="E909" i="1"/>
  <c r="B909" i="1"/>
  <c r="S901" i="1"/>
  <c r="Q901" i="1"/>
  <c r="M901" i="1"/>
  <c r="E901" i="1"/>
  <c r="D901" i="1" s="1"/>
  <c r="B901" i="1"/>
  <c r="S891" i="1"/>
  <c r="Q891" i="1"/>
  <c r="M891" i="1"/>
  <c r="E891" i="1"/>
  <c r="B891" i="1"/>
  <c r="S865" i="1"/>
  <c r="Q865" i="1"/>
  <c r="M865" i="1"/>
  <c r="E865" i="1"/>
  <c r="B865" i="1"/>
  <c r="S853" i="1"/>
  <c r="Q853" i="1"/>
  <c r="M853" i="1"/>
  <c r="E853" i="1"/>
  <c r="B853" i="1"/>
  <c r="S841" i="1"/>
  <c r="Q841" i="1"/>
  <c r="M841" i="1"/>
  <c r="E841" i="1"/>
  <c r="D841" i="1" s="1"/>
  <c r="B841" i="1"/>
  <c r="S852" i="1"/>
  <c r="Q852" i="1"/>
  <c r="M852" i="1"/>
  <c r="E852" i="1"/>
  <c r="B852" i="1"/>
  <c r="S838" i="1"/>
  <c r="Q838" i="1"/>
  <c r="M838" i="1"/>
  <c r="E838" i="1"/>
  <c r="B838" i="1"/>
  <c r="S795" i="1"/>
  <c r="Q795" i="1"/>
  <c r="M795" i="1"/>
  <c r="E795" i="1"/>
  <c r="B795" i="1"/>
  <c r="S791" i="1"/>
  <c r="Q791" i="1"/>
  <c r="M791" i="1"/>
  <c r="E791" i="1"/>
  <c r="B791" i="1"/>
  <c r="S790" i="1"/>
  <c r="Q790" i="1"/>
  <c r="M790" i="1"/>
  <c r="E790" i="1"/>
  <c r="B790" i="1"/>
  <c r="S788" i="1"/>
  <c r="Q788" i="1"/>
  <c r="M788" i="1"/>
  <c r="E788" i="1"/>
  <c r="B788" i="1"/>
  <c r="S797" i="1"/>
  <c r="Q797" i="1"/>
  <c r="M797" i="1"/>
  <c r="E797" i="1"/>
  <c r="B797" i="1"/>
  <c r="S780" i="1"/>
  <c r="Q780" i="1"/>
  <c r="M780" i="1"/>
  <c r="E780" i="1"/>
  <c r="D780" i="1" s="1"/>
  <c r="B780" i="1"/>
  <c r="S760" i="1"/>
  <c r="Q760" i="1"/>
  <c r="M760" i="1"/>
  <c r="E760" i="1"/>
  <c r="B760" i="1"/>
  <c r="S733" i="1"/>
  <c r="Q733" i="1"/>
  <c r="M733" i="1"/>
  <c r="E733" i="1"/>
  <c r="B733" i="1"/>
  <c r="S709" i="1"/>
  <c r="Q709" i="1"/>
  <c r="M709" i="1"/>
  <c r="E709" i="1"/>
  <c r="B709" i="1"/>
  <c r="S677" i="1"/>
  <c r="Q677" i="1"/>
  <c r="M677" i="1"/>
  <c r="E677" i="1"/>
  <c r="D677" i="1" s="1"/>
  <c r="B677" i="1"/>
  <c r="S676" i="1"/>
  <c r="Q676" i="1"/>
  <c r="M676" i="1"/>
  <c r="E676" i="1"/>
  <c r="B676" i="1"/>
  <c r="S678" i="1"/>
  <c r="Q678" i="1"/>
  <c r="M678" i="1"/>
  <c r="E678" i="1"/>
  <c r="B678" i="1"/>
  <c r="S675" i="1"/>
  <c r="Q675" i="1"/>
  <c r="M675" i="1"/>
  <c r="E675" i="1"/>
  <c r="B675" i="1"/>
  <c r="S674" i="1"/>
  <c r="Q674" i="1"/>
  <c r="M674" i="1"/>
  <c r="E674" i="1"/>
  <c r="B674" i="1"/>
  <c r="B679" i="1"/>
  <c r="F679" i="1"/>
  <c r="G679" i="1"/>
  <c r="H679" i="1"/>
  <c r="I679" i="1"/>
  <c r="J679" i="1"/>
  <c r="M679" i="1"/>
  <c r="Q679" i="1"/>
  <c r="S679" i="1"/>
  <c r="S673" i="1"/>
  <c r="Q673" i="1"/>
  <c r="M673" i="1"/>
  <c r="E673" i="1"/>
  <c r="B673" i="1"/>
  <c r="S672" i="1"/>
  <c r="Q672" i="1"/>
  <c r="M672" i="1"/>
  <c r="E672" i="1"/>
  <c r="B672" i="1"/>
  <c r="S630" i="1"/>
  <c r="Q630" i="1"/>
  <c r="M630" i="1"/>
  <c r="E630" i="1"/>
  <c r="B630" i="1"/>
  <c r="S628" i="1"/>
  <c r="Q628" i="1"/>
  <c r="M628" i="1"/>
  <c r="E628" i="1"/>
  <c r="B628" i="1"/>
  <c r="S483" i="1"/>
  <c r="Q483" i="1"/>
  <c r="M483" i="1"/>
  <c r="E483" i="1"/>
  <c r="B483" i="1"/>
  <c r="S481" i="1"/>
  <c r="Q481" i="1"/>
  <c r="M481" i="1"/>
  <c r="E481" i="1"/>
  <c r="B481" i="1"/>
  <c r="S479" i="1"/>
  <c r="Q479" i="1"/>
  <c r="M479" i="1"/>
  <c r="E479" i="1"/>
  <c r="D479" i="1" s="1"/>
  <c r="B479" i="1"/>
  <c r="S477" i="1"/>
  <c r="Q477" i="1"/>
  <c r="M477" i="1"/>
  <c r="E477" i="1"/>
  <c r="B477" i="1"/>
  <c r="S476" i="1"/>
  <c r="Q476" i="1"/>
  <c r="M476" i="1"/>
  <c r="E476" i="1"/>
  <c r="B476" i="1"/>
  <c r="S453" i="1"/>
  <c r="Q453" i="1"/>
  <c r="M453" i="1"/>
  <c r="E453" i="1"/>
  <c r="B453" i="1"/>
  <c r="S452" i="1"/>
  <c r="Q452" i="1"/>
  <c r="M452" i="1"/>
  <c r="E452" i="1"/>
  <c r="D452" i="1" s="1"/>
  <c r="B452" i="1"/>
  <c r="S450" i="1"/>
  <c r="Q450" i="1"/>
  <c r="M450" i="1"/>
  <c r="E450" i="1"/>
  <c r="B450" i="1"/>
  <c r="S286" i="1"/>
  <c r="Q286" i="1"/>
  <c r="O286" i="1"/>
  <c r="M286" i="1"/>
  <c r="B286" i="1"/>
  <c r="M287" i="1"/>
  <c r="S284" i="1"/>
  <c r="Q284" i="1"/>
  <c r="O284" i="1"/>
  <c r="J284" i="1"/>
  <c r="H284" i="1"/>
  <c r="F284" i="1"/>
  <c r="B284" i="1"/>
  <c r="S1158" i="1"/>
  <c r="Q1158" i="1"/>
  <c r="M1158" i="1"/>
  <c r="E1158" i="1"/>
  <c r="B1158" i="1"/>
  <c r="S1159" i="1"/>
  <c r="Q1159" i="1"/>
  <c r="M1159" i="1"/>
  <c r="E1159" i="1"/>
  <c r="D1159" i="1" s="1"/>
  <c r="B1159" i="1"/>
  <c r="S1136" i="1"/>
  <c r="Q1136" i="1"/>
  <c r="M1136" i="1"/>
  <c r="E1136" i="1"/>
  <c r="B1136" i="1"/>
  <c r="S1133" i="1"/>
  <c r="Q1133" i="1"/>
  <c r="M1133" i="1"/>
  <c r="E1133" i="1"/>
  <c r="B1133" i="1"/>
  <c r="S1126" i="1"/>
  <c r="Q1126" i="1"/>
  <c r="M1126" i="1"/>
  <c r="E1126" i="1"/>
  <c r="B1126" i="1"/>
  <c r="S1117" i="1"/>
  <c r="Q1117" i="1"/>
  <c r="M1117" i="1"/>
  <c r="E1117" i="1"/>
  <c r="D1117" i="1" s="1"/>
  <c r="B1117" i="1"/>
  <c r="S1113" i="1"/>
  <c r="Q1113" i="1"/>
  <c r="M1113" i="1"/>
  <c r="E1113" i="1"/>
  <c r="B1113" i="1"/>
  <c r="S1109" i="1"/>
  <c r="Q1109" i="1"/>
  <c r="M1109" i="1"/>
  <c r="E1109" i="1"/>
  <c r="B1109" i="1"/>
  <c r="M1164" i="1"/>
  <c r="M1163" i="1"/>
  <c r="M1162" i="1"/>
  <c r="M1150" i="1"/>
  <c r="M1149" i="1"/>
  <c r="M1148" i="1"/>
  <c r="M1147" i="1"/>
  <c r="M1146" i="1"/>
  <c r="M1145" i="1"/>
  <c r="M1144" i="1"/>
  <c r="M1143" i="1"/>
  <c r="M1130" i="1"/>
  <c r="M1014" i="1"/>
  <c r="M1013" i="1"/>
  <c r="M1012" i="1"/>
  <c r="M1017" i="1"/>
  <c r="M1016" i="1"/>
  <c r="M1015" i="1"/>
  <c r="M1009" i="1"/>
  <c r="M1007" i="1"/>
  <c r="M999" i="1"/>
  <c r="M1001" i="1"/>
  <c r="M1000" i="1"/>
  <c r="M998" i="1"/>
  <c r="M997" i="1"/>
  <c r="M996" i="1"/>
  <c r="M995" i="1"/>
  <c r="M994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3" i="1"/>
  <c r="M972" i="1"/>
  <c r="M971" i="1"/>
  <c r="M970" i="1"/>
  <c r="M969" i="1"/>
  <c r="M968" i="1"/>
  <c r="M967" i="1"/>
  <c r="M966" i="1"/>
  <c r="M965" i="1"/>
  <c r="M964" i="1"/>
  <c r="M963" i="1"/>
  <c r="M954" i="1"/>
  <c r="M953" i="1"/>
  <c r="M958" i="1"/>
  <c r="M957" i="1"/>
  <c r="M956" i="1"/>
  <c r="M955" i="1"/>
  <c r="M951" i="1"/>
  <c r="M950" i="1"/>
  <c r="M941" i="1"/>
  <c r="M940" i="1"/>
  <c r="M939" i="1"/>
  <c r="M948" i="1"/>
  <c r="M947" i="1"/>
  <c r="M938" i="1"/>
  <c r="M946" i="1"/>
  <c r="M945" i="1"/>
  <c r="M944" i="1"/>
  <c r="M943" i="1"/>
  <c r="M942" i="1"/>
  <c r="M937" i="1"/>
  <c r="M935" i="1"/>
  <c r="M934" i="1"/>
  <c r="M926" i="1"/>
  <c r="M933" i="1"/>
  <c r="M932" i="1"/>
  <c r="M931" i="1"/>
  <c r="M930" i="1"/>
  <c r="M929" i="1"/>
  <c r="M924" i="1"/>
  <c r="M923" i="1"/>
  <c r="M922" i="1"/>
  <c r="M921" i="1"/>
  <c r="M920" i="1"/>
  <c r="M919" i="1"/>
  <c r="M918" i="1"/>
  <c r="M917" i="1"/>
  <c r="M910" i="1"/>
  <c r="M907" i="1"/>
  <c r="M898" i="1"/>
  <c r="M897" i="1"/>
  <c r="M896" i="1"/>
  <c r="M902" i="1"/>
  <c r="M900" i="1"/>
  <c r="M899" i="1"/>
  <c r="M894" i="1"/>
  <c r="M893" i="1"/>
  <c r="M892" i="1"/>
  <c r="M890" i="1"/>
  <c r="M889" i="1"/>
  <c r="M888" i="1"/>
  <c r="M877" i="1"/>
  <c r="M876" i="1"/>
  <c r="M873" i="1"/>
  <c r="M875" i="1"/>
  <c r="M874" i="1"/>
  <c r="M887" i="1"/>
  <c r="M886" i="1"/>
  <c r="M885" i="1"/>
  <c r="M884" i="1"/>
  <c r="M883" i="1"/>
  <c r="M882" i="1"/>
  <c r="M881" i="1"/>
  <c r="M880" i="1"/>
  <c r="M879" i="1"/>
  <c r="M878" i="1"/>
  <c r="M872" i="1"/>
  <c r="M871" i="1"/>
  <c r="M870" i="1"/>
  <c r="M869" i="1"/>
  <c r="M867" i="1"/>
  <c r="M866" i="1"/>
  <c r="M864" i="1"/>
  <c r="M835" i="1"/>
  <c r="M834" i="1"/>
  <c r="M833" i="1"/>
  <c r="M832" i="1"/>
  <c r="M826" i="1"/>
  <c r="M825" i="1"/>
  <c r="M824" i="1"/>
  <c r="M828" i="1"/>
  <c r="M827" i="1"/>
  <c r="M823" i="1"/>
  <c r="M822" i="1"/>
  <c r="M821" i="1"/>
  <c r="M820" i="1"/>
  <c r="M815" i="1"/>
  <c r="M812" i="1"/>
  <c r="M774" i="1"/>
  <c r="M773" i="1"/>
  <c r="M772" i="1"/>
  <c r="M764" i="1"/>
  <c r="M761" i="1"/>
  <c r="M763" i="1"/>
  <c r="M744" i="1"/>
  <c r="M743" i="1"/>
  <c r="M742" i="1"/>
  <c r="M737" i="1"/>
  <c r="M736" i="1"/>
  <c r="M1186" i="1"/>
  <c r="M726" i="1"/>
  <c r="M724" i="1"/>
  <c r="M723" i="1"/>
  <c r="M722" i="1"/>
  <c r="M721" i="1"/>
  <c r="M720" i="1"/>
  <c r="M719" i="1"/>
  <c r="M718" i="1"/>
  <c r="M708" i="1"/>
  <c r="M707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2" i="1"/>
  <c r="M681" i="1"/>
  <c r="M680" i="1"/>
  <c r="M667" i="1"/>
  <c r="M666" i="1"/>
  <c r="M665" i="1"/>
  <c r="M664" i="1"/>
  <c r="M663" i="1"/>
  <c r="M662" i="1"/>
  <c r="M661" i="1"/>
  <c r="M660" i="1"/>
  <c r="M659" i="1"/>
  <c r="M657" i="1"/>
  <c r="M656" i="1"/>
  <c r="M655" i="1"/>
  <c r="M651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4" i="1"/>
  <c r="M633" i="1"/>
  <c r="M632" i="1"/>
  <c r="M631" i="1"/>
  <c r="M629" i="1"/>
  <c r="M627" i="1"/>
  <c r="M626" i="1"/>
  <c r="M625" i="1"/>
  <c r="M624" i="1"/>
  <c r="M623" i="1"/>
  <c r="M622" i="1"/>
  <c r="M619" i="1"/>
  <c r="M618" i="1"/>
  <c r="M617" i="1"/>
  <c r="M616" i="1"/>
  <c r="M615" i="1"/>
  <c r="M614" i="1"/>
  <c r="M612" i="1"/>
  <c r="M611" i="1"/>
  <c r="M610" i="1"/>
  <c r="M609" i="1"/>
  <c r="M608" i="1"/>
  <c r="M607" i="1"/>
  <c r="M606" i="1"/>
  <c r="M605" i="1"/>
  <c r="M604" i="1"/>
  <c r="M603" i="1"/>
  <c r="M601" i="1"/>
  <c r="M600" i="1"/>
  <c r="M599" i="1"/>
  <c r="M598" i="1"/>
  <c r="M597" i="1"/>
  <c r="M596" i="1"/>
  <c r="M595" i="1"/>
  <c r="M594" i="1"/>
  <c r="M593" i="1"/>
  <c r="M583" i="1"/>
  <c r="M582" i="1"/>
  <c r="M567" i="1"/>
  <c r="M566" i="1"/>
  <c r="M565" i="1"/>
  <c r="M564" i="1"/>
  <c r="M563" i="1"/>
  <c r="M562" i="1"/>
  <c r="M561" i="1"/>
  <c r="M559" i="1"/>
  <c r="M558" i="1"/>
  <c r="M557" i="1"/>
  <c r="M556" i="1"/>
  <c r="M555" i="1"/>
  <c r="M554" i="1"/>
  <c r="M553" i="1"/>
  <c r="M550" i="1"/>
  <c r="M551" i="1"/>
  <c r="M549" i="1"/>
  <c r="M548" i="1"/>
  <c r="M547" i="1"/>
  <c r="M546" i="1"/>
  <c r="M545" i="1"/>
  <c r="M543" i="1"/>
  <c r="M542" i="1"/>
  <c r="M534" i="1"/>
  <c r="M533" i="1"/>
  <c r="M532" i="1"/>
  <c r="M541" i="1"/>
  <c r="M540" i="1"/>
  <c r="M539" i="1"/>
  <c r="M538" i="1"/>
  <c r="M537" i="1"/>
  <c r="M536" i="1"/>
  <c r="M535" i="1"/>
  <c r="M529" i="1"/>
  <c r="M528" i="1"/>
  <c r="M527" i="1"/>
  <c r="M526" i="1"/>
  <c r="M525" i="1"/>
  <c r="M530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499" i="1"/>
  <c r="M498" i="1"/>
  <c r="M494" i="1"/>
  <c r="M493" i="1"/>
  <c r="M492" i="1"/>
  <c r="M491" i="1"/>
  <c r="M490" i="1"/>
  <c r="M489" i="1"/>
  <c r="M488" i="1"/>
  <c r="M487" i="1"/>
  <c r="M486" i="1"/>
  <c r="M485" i="1"/>
  <c r="M497" i="1"/>
  <c r="M496" i="1"/>
  <c r="M495" i="1"/>
  <c r="M484" i="1"/>
  <c r="M478" i="1"/>
  <c r="M474" i="1"/>
  <c r="M471" i="1"/>
  <c r="M468" i="1"/>
  <c r="M467" i="1"/>
  <c r="M466" i="1"/>
  <c r="M462" i="1"/>
  <c r="M465" i="1"/>
  <c r="M464" i="1"/>
  <c r="M463" i="1"/>
  <c r="M461" i="1"/>
  <c r="M460" i="1"/>
  <c r="M434" i="1"/>
  <c r="M433" i="1"/>
  <c r="M432" i="1"/>
  <c r="M431" i="1"/>
  <c r="M430" i="1"/>
  <c r="M429" i="1"/>
  <c r="M428" i="1"/>
  <c r="M427" i="1"/>
  <c r="M426" i="1"/>
  <c r="M422" i="1"/>
  <c r="M421" i="1"/>
  <c r="M419" i="1"/>
  <c r="M418" i="1"/>
  <c r="M420" i="1"/>
  <c r="M416" i="1"/>
  <c r="M413" i="1"/>
  <c r="M412" i="1"/>
  <c r="M411" i="1"/>
  <c r="M410" i="1"/>
  <c r="M409" i="1"/>
  <c r="M408" i="1"/>
  <c r="M407" i="1"/>
  <c r="M406" i="1"/>
  <c r="M405" i="1"/>
  <c r="M404" i="1"/>
  <c r="M401" i="1"/>
  <c r="M390" i="1"/>
  <c r="M389" i="1"/>
  <c r="M388" i="1"/>
  <c r="M387" i="1"/>
  <c r="M386" i="1"/>
  <c r="M384" i="1"/>
  <c r="M382" i="1"/>
  <c r="M394" i="1"/>
  <c r="M393" i="1"/>
  <c r="M392" i="1"/>
  <c r="M391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S333" i="1"/>
  <c r="Q333" i="1"/>
  <c r="O333" i="1"/>
  <c r="M333" i="1"/>
  <c r="E333" i="1"/>
  <c r="B333" i="1"/>
  <c r="S326" i="1"/>
  <c r="Q326" i="1"/>
  <c r="O326" i="1"/>
  <c r="M326" i="1"/>
  <c r="E326" i="1"/>
  <c r="B326" i="1"/>
  <c r="S319" i="1"/>
  <c r="Q319" i="1"/>
  <c r="O319" i="1"/>
  <c r="M319" i="1"/>
  <c r="E319" i="1"/>
  <c r="B319" i="1"/>
  <c r="S317" i="1"/>
  <c r="Q317" i="1"/>
  <c r="O317" i="1"/>
  <c r="M317" i="1"/>
  <c r="E317" i="1"/>
  <c r="B317" i="1"/>
  <c r="S303" i="1"/>
  <c r="Q303" i="1"/>
  <c r="O303" i="1"/>
  <c r="M303" i="1"/>
  <c r="E303" i="1"/>
  <c r="B303" i="1"/>
  <c r="M302" i="1"/>
  <c r="S302" i="1"/>
  <c r="Q302" i="1"/>
  <c r="O302" i="1"/>
  <c r="E302" i="1"/>
  <c r="B302" i="1"/>
  <c r="M234" i="1"/>
  <c r="E234" i="1"/>
  <c r="B234" i="1"/>
  <c r="M233" i="1"/>
  <c r="E233" i="1"/>
  <c r="B233" i="1"/>
  <c r="M224" i="1"/>
  <c r="M222" i="1" s="1"/>
  <c r="E224" i="1"/>
  <c r="B224" i="1"/>
  <c r="B68" i="1"/>
  <c r="B66" i="1"/>
  <c r="B61" i="1"/>
  <c r="B60" i="1"/>
  <c r="A59" i="1"/>
  <c r="B59" i="1" s="1"/>
  <c r="S68" i="1"/>
  <c r="Q68" i="1"/>
  <c r="M68" i="1"/>
  <c r="E68" i="1"/>
  <c r="S66" i="1"/>
  <c r="Q66" i="1"/>
  <c r="M66" i="1"/>
  <c r="E66" i="1"/>
  <c r="S61" i="1"/>
  <c r="Q61" i="1"/>
  <c r="M61" i="1"/>
  <c r="E61" i="1"/>
  <c r="S60" i="1"/>
  <c r="Q60" i="1"/>
  <c r="M60" i="1"/>
  <c r="E60" i="1"/>
  <c r="S59" i="1"/>
  <c r="Q59" i="1"/>
  <c r="M59" i="1"/>
  <c r="E59" i="1"/>
  <c r="S48" i="1"/>
  <c r="Q48" i="1"/>
  <c r="M48" i="1"/>
  <c r="E48" i="1"/>
  <c r="A48" i="1"/>
  <c r="B48" i="1" s="1"/>
  <c r="S47" i="1"/>
  <c r="Q47" i="1"/>
  <c r="M47" i="1"/>
  <c r="E47" i="1"/>
  <c r="D47" i="1" s="1"/>
  <c r="A47" i="1"/>
  <c r="B47" i="1" s="1"/>
  <c r="S44" i="1"/>
  <c r="Q44" i="1"/>
  <c r="M44" i="1"/>
  <c r="E44" i="1"/>
  <c r="A44" i="1"/>
  <c r="B44" i="1" s="1"/>
  <c r="S41" i="1"/>
  <c r="Q41" i="1"/>
  <c r="M41" i="1"/>
  <c r="E41" i="1"/>
  <c r="A41" i="1"/>
  <c r="B41" i="1" s="1"/>
  <c r="S42" i="1"/>
  <c r="Q42" i="1"/>
  <c r="M42" i="1"/>
  <c r="E42" i="1"/>
  <c r="A42" i="1"/>
  <c r="B42" i="1" s="1"/>
  <c r="S39" i="1"/>
  <c r="Q39" i="1"/>
  <c r="M39" i="1"/>
  <c r="E39" i="1"/>
  <c r="A39" i="1"/>
  <c r="B39" i="1" s="1"/>
  <c r="S32" i="1"/>
  <c r="Q32" i="1"/>
  <c r="M32" i="1"/>
  <c r="E32" i="1"/>
  <c r="A32" i="1"/>
  <c r="B32" i="1" s="1"/>
  <c r="S25" i="1"/>
  <c r="Q25" i="1"/>
  <c r="M25" i="1"/>
  <c r="E25" i="1"/>
  <c r="A25" i="1"/>
  <c r="B25" i="1" s="1"/>
  <c r="S24" i="1"/>
  <c r="Q24" i="1"/>
  <c r="M24" i="1"/>
  <c r="E24" i="1"/>
  <c r="A24" i="1"/>
  <c r="B24" i="1" s="1"/>
  <c r="S13" i="1"/>
  <c r="Q13" i="1"/>
  <c r="M13" i="1"/>
  <c r="A13" i="1"/>
  <c r="B13" i="1" s="1"/>
  <c r="D326" i="1" l="1"/>
  <c r="D302" i="1"/>
  <c r="D317" i="1"/>
  <c r="D39" i="1"/>
  <c r="D630" i="1"/>
  <c r="D674" i="1"/>
  <c r="D791" i="1"/>
  <c r="D233" i="1"/>
  <c r="D925" i="1"/>
  <c r="D483" i="1"/>
  <c r="D13" i="1"/>
  <c r="D24" i="1"/>
  <c r="D42" i="1"/>
  <c r="D48" i="1"/>
  <c r="D59" i="1"/>
  <c r="D60" i="1"/>
  <c r="D61" i="1"/>
  <c r="D66" i="1"/>
  <c r="D68" i="1"/>
  <c r="D234" i="1"/>
  <c r="D1126" i="1"/>
  <c r="D1158" i="1"/>
  <c r="D453" i="1"/>
  <c r="D481" i="1"/>
  <c r="D672" i="1"/>
  <c r="D675" i="1"/>
  <c r="D709" i="1"/>
  <c r="D797" i="1"/>
  <c r="D795" i="1"/>
  <c r="D853" i="1"/>
  <c r="D909" i="1"/>
  <c r="D949" i="1"/>
  <c r="D592" i="1"/>
  <c r="D673" i="1"/>
  <c r="D678" i="1"/>
  <c r="D733" i="1"/>
  <c r="D788" i="1"/>
  <c r="D838" i="1"/>
  <c r="D865" i="1"/>
  <c r="D927" i="1"/>
  <c r="D952" i="1"/>
  <c r="D459" i="1"/>
  <c r="D25" i="1"/>
  <c r="D41" i="1"/>
  <c r="D303" i="1"/>
  <c r="D319" i="1"/>
  <c r="D333" i="1"/>
  <c r="D1109" i="1"/>
  <c r="D1133" i="1"/>
  <c r="D286" i="1"/>
  <c r="D476" i="1"/>
  <c r="D32" i="1"/>
  <c r="D44" i="1"/>
  <c r="D224" i="1"/>
  <c r="D1113" i="1"/>
  <c r="D1136" i="1"/>
  <c r="D450" i="1"/>
  <c r="D477" i="1"/>
  <c r="D628" i="1"/>
  <c r="D676" i="1"/>
  <c r="D760" i="1"/>
  <c r="D790" i="1"/>
  <c r="D852" i="1"/>
  <c r="D891" i="1"/>
  <c r="D928" i="1"/>
  <c r="D683" i="1"/>
  <c r="M58" i="1"/>
  <c r="M288" i="1"/>
  <c r="M366" i="1"/>
  <c r="Q58" i="1"/>
  <c r="M265" i="1"/>
  <c r="M1096" i="1"/>
  <c r="E284" i="1"/>
  <c r="D284" i="1" s="1"/>
  <c r="E679" i="1"/>
  <c r="D679" i="1" s="1"/>
  <c r="J2615" i="1" l="1"/>
  <c r="J2612" i="1"/>
  <c r="J2611" i="1"/>
  <c r="J2610" i="1"/>
  <c r="J2609" i="1"/>
  <c r="J2608" i="1"/>
  <c r="J2607" i="1"/>
  <c r="J2606" i="1"/>
  <c r="J2605" i="1"/>
  <c r="J2599" i="1"/>
  <c r="J2598" i="1"/>
  <c r="J2597" i="1"/>
  <c r="J2596" i="1"/>
  <c r="J2594" i="1"/>
  <c r="J2593" i="1"/>
  <c r="J2589" i="1"/>
  <c r="J2590" i="1"/>
  <c r="J2588" i="1"/>
  <c r="J2587" i="1"/>
  <c r="J2585" i="1"/>
  <c r="J2584" i="1"/>
  <c r="J2581" i="1"/>
  <c r="J2580" i="1"/>
  <c r="J2576" i="1"/>
  <c r="J2575" i="1"/>
  <c r="J2574" i="1"/>
  <c r="J2573" i="1"/>
  <c r="J2572" i="1"/>
  <c r="J2571" i="1"/>
  <c r="J2570" i="1"/>
  <c r="J2569" i="1"/>
  <c r="J2578" i="1"/>
  <c r="J2577" i="1"/>
  <c r="J2568" i="1"/>
  <c r="J2567" i="1"/>
  <c r="J2564" i="1"/>
  <c r="J2563" i="1"/>
  <c r="J2562" i="1"/>
  <c r="J2561" i="1"/>
  <c r="J2557" i="1"/>
  <c r="J2551" i="1"/>
  <c r="J2550" i="1"/>
  <c r="J2546" i="1"/>
  <c r="J2545" i="1"/>
  <c r="J2544" i="1"/>
  <c r="J2543" i="1"/>
  <c r="J2542" i="1"/>
  <c r="J2540" i="1"/>
  <c r="J2539" i="1"/>
  <c r="J2538" i="1"/>
  <c r="J2537" i="1"/>
  <c r="J2536" i="1"/>
  <c r="J2535" i="1"/>
  <c r="J2534" i="1"/>
  <c r="J2529" i="1"/>
  <c r="J2528" i="1"/>
  <c r="J2527" i="1"/>
  <c r="J2526" i="1"/>
  <c r="J2525" i="1"/>
  <c r="J2524" i="1"/>
  <c r="J2523" i="1"/>
  <c r="J2518" i="1"/>
  <c r="J2516" i="1"/>
  <c r="J2511" i="1"/>
  <c r="J2509" i="1"/>
  <c r="J2508" i="1"/>
  <c r="J2506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64" i="1"/>
  <c r="J2463" i="1"/>
  <c r="J2462" i="1"/>
  <c r="J2461" i="1"/>
  <c r="J2460" i="1"/>
  <c r="J2459" i="1"/>
  <c r="J2456" i="1"/>
  <c r="J2454" i="1"/>
  <c r="J2451" i="1"/>
  <c r="J2448" i="1"/>
  <c r="J2446" i="1"/>
  <c r="J2445" i="1"/>
  <c r="J2444" i="1"/>
  <c r="J2442" i="1"/>
  <c r="J2440" i="1"/>
  <c r="J2438" i="1"/>
  <c r="J2437" i="1"/>
  <c r="J2435" i="1"/>
  <c r="J2433" i="1"/>
  <c r="J2432" i="1"/>
  <c r="J2431" i="1"/>
  <c r="J2430" i="1"/>
  <c r="J2424" i="1"/>
  <c r="J2423" i="1"/>
  <c r="J2422" i="1"/>
  <c r="J2419" i="1"/>
  <c r="J2418" i="1"/>
  <c r="J2417" i="1"/>
  <c r="J2415" i="1"/>
  <c r="J2414" i="1"/>
  <c r="J2413" i="1"/>
  <c r="J2412" i="1"/>
  <c r="J2404" i="1"/>
  <c r="J2411" i="1"/>
  <c r="J2410" i="1"/>
  <c r="J2403" i="1"/>
  <c r="J2402" i="1"/>
  <c r="J2401" i="1"/>
  <c r="J2394" i="1"/>
  <c r="J2392" i="1"/>
  <c r="J2390" i="1"/>
  <c r="J2389" i="1"/>
  <c r="J2385" i="1"/>
  <c r="J2388" i="1"/>
  <c r="J2387" i="1"/>
  <c r="J2381" i="1"/>
  <c r="J2380" i="1"/>
  <c r="J2373" i="1"/>
  <c r="J2372" i="1"/>
  <c r="J2370" i="1"/>
  <c r="J2369" i="1"/>
  <c r="J2368" i="1"/>
  <c r="J2377" i="1"/>
  <c r="J2376" i="1"/>
  <c r="J2375" i="1"/>
  <c r="J2374" i="1"/>
  <c r="J2366" i="1"/>
  <c r="J2365" i="1"/>
  <c r="J2364" i="1"/>
  <c r="J2363" i="1"/>
  <c r="J2360" i="1"/>
  <c r="J2356" i="1"/>
  <c r="J2355" i="1"/>
  <c r="J2354" i="1"/>
  <c r="J2353" i="1"/>
  <c r="J2351" i="1"/>
  <c r="J2349" i="1"/>
  <c r="J2348" i="1"/>
  <c r="J2347" i="1"/>
  <c r="J2346" i="1"/>
  <c r="J2345" i="1"/>
  <c r="J2344" i="1"/>
  <c r="J2343" i="1"/>
  <c r="J2341" i="1"/>
  <c r="J2340" i="1"/>
  <c r="J2339" i="1"/>
  <c r="J2338" i="1"/>
  <c r="J2336" i="1"/>
  <c r="J2335" i="1"/>
  <c r="I2615" i="1"/>
  <c r="I2612" i="1"/>
  <c r="I2611" i="1"/>
  <c r="I2610" i="1"/>
  <c r="I2609" i="1"/>
  <c r="I2608" i="1"/>
  <c r="I2607" i="1"/>
  <c r="I2606" i="1"/>
  <c r="I2605" i="1"/>
  <c r="I2599" i="1"/>
  <c r="I2598" i="1"/>
  <c r="I2597" i="1"/>
  <c r="I2596" i="1"/>
  <c r="I2594" i="1"/>
  <c r="I2593" i="1"/>
  <c r="I2589" i="1"/>
  <c r="I2590" i="1"/>
  <c r="I2588" i="1"/>
  <c r="I2587" i="1"/>
  <c r="I2585" i="1"/>
  <c r="I2584" i="1"/>
  <c r="I2581" i="1"/>
  <c r="I2580" i="1"/>
  <c r="I2576" i="1"/>
  <c r="I2575" i="1"/>
  <c r="I2574" i="1"/>
  <c r="I2573" i="1"/>
  <c r="I2572" i="1"/>
  <c r="I2571" i="1"/>
  <c r="I2570" i="1"/>
  <c r="I2569" i="1"/>
  <c r="I2578" i="1"/>
  <c r="I2577" i="1"/>
  <c r="I2568" i="1"/>
  <c r="I2567" i="1"/>
  <c r="I2564" i="1"/>
  <c r="I2563" i="1"/>
  <c r="I2562" i="1"/>
  <c r="I2561" i="1"/>
  <c r="I2557" i="1"/>
  <c r="I2551" i="1"/>
  <c r="I2550" i="1"/>
  <c r="I2546" i="1"/>
  <c r="I2545" i="1"/>
  <c r="I2544" i="1"/>
  <c r="I2543" i="1"/>
  <c r="I2542" i="1"/>
  <c r="I2540" i="1"/>
  <c r="I2539" i="1"/>
  <c r="I2538" i="1"/>
  <c r="I2537" i="1"/>
  <c r="I2536" i="1"/>
  <c r="I2535" i="1"/>
  <c r="I2534" i="1"/>
  <c r="I2529" i="1"/>
  <c r="I2528" i="1"/>
  <c r="I2527" i="1"/>
  <c r="I2526" i="1"/>
  <c r="I2525" i="1"/>
  <c r="I2524" i="1"/>
  <c r="I2523" i="1"/>
  <c r="I2518" i="1"/>
  <c r="I2516" i="1"/>
  <c r="I2511" i="1"/>
  <c r="I2509" i="1"/>
  <c r="I2508" i="1"/>
  <c r="I2506" i="1"/>
  <c r="I2504" i="1"/>
  <c r="I2503" i="1"/>
  <c r="I2502" i="1"/>
  <c r="I2501" i="1"/>
  <c r="I2500" i="1"/>
  <c r="I2499" i="1"/>
  <c r="I2497" i="1"/>
  <c r="I2498" i="1"/>
  <c r="I2496" i="1"/>
  <c r="I2495" i="1"/>
  <c r="I2494" i="1"/>
  <c r="I2493" i="1"/>
  <c r="I2492" i="1"/>
  <c r="I2491" i="1"/>
  <c r="I2490" i="1"/>
  <c r="I2489" i="1"/>
  <c r="I2488" i="1" l="1"/>
  <c r="I2487" i="1"/>
  <c r="I2486" i="1"/>
  <c r="I2485" i="1"/>
  <c r="I2484" i="1"/>
  <c r="I2483" i="1"/>
  <c r="I2482" i="1"/>
  <c r="I2481" i="1"/>
  <c r="I2480" i="1"/>
  <c r="I2479" i="1"/>
  <c r="I2478" i="1"/>
  <c r="I2477" i="1"/>
  <c r="I2464" i="1"/>
  <c r="I2463" i="1"/>
  <c r="I2462" i="1"/>
  <c r="I2461" i="1"/>
  <c r="I2460" i="1"/>
  <c r="I2459" i="1"/>
  <c r="I2456" i="1"/>
  <c r="I2454" i="1"/>
  <c r="I2451" i="1"/>
  <c r="I2448" i="1"/>
  <c r="I2446" i="1"/>
  <c r="I2445" i="1"/>
  <c r="I2444" i="1"/>
  <c r="I2442" i="1"/>
  <c r="I2440" i="1"/>
  <c r="I2438" i="1"/>
  <c r="I2437" i="1"/>
  <c r="I2435" i="1"/>
  <c r="I2433" i="1"/>
  <c r="I2432" i="1"/>
  <c r="I2431" i="1"/>
  <c r="I2430" i="1"/>
  <c r="I2424" i="1"/>
  <c r="I2423" i="1"/>
  <c r="I2422" i="1"/>
  <c r="I2419" i="1"/>
  <c r="I2418" i="1"/>
  <c r="I2417" i="1"/>
  <c r="I2415" i="1"/>
  <c r="I2414" i="1"/>
  <c r="I2413" i="1"/>
  <c r="I2412" i="1"/>
  <c r="I2404" i="1"/>
  <c r="I2411" i="1"/>
  <c r="I2410" i="1"/>
  <c r="I2403" i="1"/>
  <c r="I2402" i="1"/>
  <c r="I2401" i="1"/>
  <c r="I2394" i="1"/>
  <c r="I2392" i="1"/>
  <c r="I2390" i="1"/>
  <c r="I2389" i="1"/>
  <c r="I2385" i="1"/>
  <c r="I2388" i="1"/>
  <c r="I2387" i="1"/>
  <c r="I2381" i="1"/>
  <c r="I2380" i="1"/>
  <c r="I2373" i="1"/>
  <c r="I2372" i="1"/>
  <c r="I2370" i="1"/>
  <c r="I2369" i="1"/>
  <c r="I2368" i="1"/>
  <c r="I2377" i="1"/>
  <c r="I2376" i="1"/>
  <c r="I2375" i="1"/>
  <c r="I2374" i="1"/>
  <c r="I2366" i="1"/>
  <c r="I2365" i="1"/>
  <c r="I2364" i="1"/>
  <c r="I2363" i="1"/>
  <c r="I2360" i="1"/>
  <c r="I2357" i="1"/>
  <c r="I2356" i="1"/>
  <c r="I2355" i="1"/>
  <c r="I2354" i="1"/>
  <c r="I2353" i="1"/>
  <c r="I2351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6" i="1"/>
  <c r="I2335" i="1"/>
  <c r="H2615" i="1"/>
  <c r="H2612" i="1"/>
  <c r="H2611" i="1"/>
  <c r="H2610" i="1"/>
  <c r="H2609" i="1"/>
  <c r="H2608" i="1"/>
  <c r="H2607" i="1"/>
  <c r="H2606" i="1"/>
  <c r="H2605" i="1"/>
  <c r="H2599" i="1"/>
  <c r="H2598" i="1"/>
  <c r="H2597" i="1"/>
  <c r="H2596" i="1"/>
  <c r="H2594" i="1"/>
  <c r="H2593" i="1"/>
  <c r="H2589" i="1"/>
  <c r="H2590" i="1"/>
  <c r="H2588" i="1"/>
  <c r="H2587" i="1"/>
  <c r="H2585" i="1"/>
  <c r="H2584" i="1"/>
  <c r="H2581" i="1"/>
  <c r="H2580" i="1"/>
  <c r="H2576" i="1"/>
  <c r="H2575" i="1"/>
  <c r="H2574" i="1"/>
  <c r="H2573" i="1"/>
  <c r="H2572" i="1"/>
  <c r="H2571" i="1"/>
  <c r="H2570" i="1"/>
  <c r="H2569" i="1"/>
  <c r="H2578" i="1"/>
  <c r="H2577" i="1"/>
  <c r="H2568" i="1"/>
  <c r="H2567" i="1"/>
  <c r="H2564" i="1"/>
  <c r="H2563" i="1"/>
  <c r="H2562" i="1"/>
  <c r="H2561" i="1"/>
  <c r="H2557" i="1"/>
  <c r="H2551" i="1"/>
  <c r="H2550" i="1"/>
  <c r="H2546" i="1"/>
  <c r="H2545" i="1"/>
  <c r="H2544" i="1"/>
  <c r="H2543" i="1"/>
  <c r="H2542" i="1"/>
  <c r="H2540" i="1"/>
  <c r="H2539" i="1"/>
  <c r="H2538" i="1"/>
  <c r="H2537" i="1"/>
  <c r="H2536" i="1"/>
  <c r="H2535" i="1"/>
  <c r="H2534" i="1"/>
  <c r="H2529" i="1"/>
  <c r="H2528" i="1"/>
  <c r="H2527" i="1"/>
  <c r="H2526" i="1"/>
  <c r="H2525" i="1"/>
  <c r="H2524" i="1"/>
  <c r="H2523" i="1"/>
  <c r="H2518" i="1"/>
  <c r="H2516" i="1"/>
  <c r="H2511" i="1"/>
  <c r="H2509" i="1"/>
  <c r="H2508" i="1"/>
  <c r="H2506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64" i="1"/>
  <c r="H2463" i="1"/>
  <c r="H2462" i="1"/>
  <c r="H2461" i="1"/>
  <c r="H2460" i="1"/>
  <c r="H2459" i="1"/>
  <c r="H2456" i="1"/>
  <c r="H2454" i="1"/>
  <c r="H2451" i="1"/>
  <c r="H2448" i="1"/>
  <c r="H2446" i="1"/>
  <c r="H2445" i="1"/>
  <c r="H2444" i="1"/>
  <c r="H2442" i="1"/>
  <c r="H2440" i="1"/>
  <c r="H2438" i="1"/>
  <c r="H2437" i="1"/>
  <c r="H2435" i="1"/>
  <c r="H2433" i="1"/>
  <c r="H2432" i="1"/>
  <c r="H2431" i="1"/>
  <c r="H2430" i="1"/>
  <c r="H2424" i="1"/>
  <c r="H2423" i="1"/>
  <c r="H2422" i="1"/>
  <c r="H2419" i="1"/>
  <c r="H2418" i="1"/>
  <c r="H2417" i="1"/>
  <c r="H2415" i="1"/>
  <c r="H2414" i="1"/>
  <c r="H2413" i="1"/>
  <c r="H2412" i="1"/>
  <c r="H2404" i="1"/>
  <c r="H2411" i="1"/>
  <c r="H2410" i="1"/>
  <c r="H2403" i="1"/>
  <c r="H2402" i="1"/>
  <c r="H2401" i="1"/>
  <c r="H2394" i="1"/>
  <c r="H2392" i="1"/>
  <c r="H2390" i="1"/>
  <c r="H2389" i="1"/>
  <c r="H2385" i="1"/>
  <c r="H2388" i="1"/>
  <c r="H2387" i="1"/>
  <c r="H2381" i="1"/>
  <c r="H2380" i="1"/>
  <c r="H2373" i="1"/>
  <c r="H2372" i="1"/>
  <c r="H2370" i="1"/>
  <c r="H2369" i="1"/>
  <c r="H2368" i="1"/>
  <c r="H2377" i="1"/>
  <c r="H2376" i="1"/>
  <c r="H2375" i="1"/>
  <c r="H2374" i="1"/>
  <c r="H2366" i="1"/>
  <c r="H2365" i="1"/>
  <c r="H2364" i="1"/>
  <c r="H2363" i="1"/>
  <c r="H2360" i="1"/>
  <c r="H2357" i="1"/>
  <c r="H2356" i="1"/>
  <c r="H2355" i="1"/>
  <c r="H2354" i="1"/>
  <c r="H2353" i="1"/>
  <c r="H2351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6" i="1"/>
  <c r="H2335" i="1"/>
  <c r="G2615" i="1"/>
  <c r="G2612" i="1"/>
  <c r="G2611" i="1"/>
  <c r="G2610" i="1"/>
  <c r="G2609" i="1"/>
  <c r="G2608" i="1"/>
  <c r="G2607" i="1"/>
  <c r="G2606" i="1"/>
  <c r="G2605" i="1"/>
  <c r="G2599" i="1"/>
  <c r="G2598" i="1"/>
  <c r="G2597" i="1"/>
  <c r="G2596" i="1"/>
  <c r="G2594" i="1"/>
  <c r="G2593" i="1"/>
  <c r="G2589" i="1"/>
  <c r="G2590" i="1"/>
  <c r="G2588" i="1"/>
  <c r="G2587" i="1"/>
  <c r="G2585" i="1"/>
  <c r="G2584" i="1"/>
  <c r="G2581" i="1"/>
  <c r="G2580" i="1"/>
  <c r="G2576" i="1"/>
  <c r="G2575" i="1"/>
  <c r="G2574" i="1"/>
  <c r="G2573" i="1"/>
  <c r="G2572" i="1"/>
  <c r="G2571" i="1"/>
  <c r="G2570" i="1"/>
  <c r="G2569" i="1"/>
  <c r="G2578" i="1"/>
  <c r="G2577" i="1"/>
  <c r="G2568" i="1"/>
  <c r="G2567" i="1"/>
  <c r="G2564" i="1"/>
  <c r="G2563" i="1"/>
  <c r="G2562" i="1"/>
  <c r="G2561" i="1"/>
  <c r="G2557" i="1"/>
  <c r="G2551" i="1"/>
  <c r="G2550" i="1"/>
  <c r="G2546" i="1"/>
  <c r="G2545" i="1"/>
  <c r="G2544" i="1"/>
  <c r="G2543" i="1"/>
  <c r="G2542" i="1"/>
  <c r="G2540" i="1"/>
  <c r="G2539" i="1"/>
  <c r="G2538" i="1"/>
  <c r="G2537" i="1"/>
  <c r="G2536" i="1"/>
  <c r="G2535" i="1"/>
  <c r="G2534" i="1"/>
  <c r="G2529" i="1"/>
  <c r="G2528" i="1"/>
  <c r="G2527" i="1"/>
  <c r="G2526" i="1"/>
  <c r="G2525" i="1"/>
  <c r="G2524" i="1"/>
  <c r="G2523" i="1"/>
  <c r="G2518" i="1"/>
  <c r="G2516" i="1"/>
  <c r="G2511" i="1"/>
  <c r="G2509" i="1"/>
  <c r="G2508" i="1"/>
  <c r="G2506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64" i="1"/>
  <c r="G2463" i="1"/>
  <c r="G2462" i="1"/>
  <c r="G2461" i="1"/>
  <c r="G2460" i="1"/>
  <c r="G2459" i="1"/>
  <c r="G2456" i="1"/>
  <c r="G2454" i="1"/>
  <c r="G2451" i="1"/>
  <c r="G2448" i="1"/>
  <c r="G2446" i="1"/>
  <c r="G2445" i="1"/>
  <c r="G2444" i="1"/>
  <c r="G2442" i="1"/>
  <c r="G2440" i="1"/>
  <c r="G2438" i="1"/>
  <c r="G2437" i="1"/>
  <c r="G2435" i="1"/>
  <c r="G2433" i="1"/>
  <c r="G2432" i="1"/>
  <c r="G2431" i="1"/>
  <c r="G2430" i="1"/>
  <c r="G2424" i="1"/>
  <c r="G2423" i="1"/>
  <c r="G2422" i="1"/>
  <c r="G2419" i="1"/>
  <c r="G2418" i="1"/>
  <c r="G2417" i="1"/>
  <c r="G2415" i="1"/>
  <c r="G2414" i="1"/>
  <c r="G2413" i="1"/>
  <c r="G2412" i="1"/>
  <c r="G2404" i="1"/>
  <c r="G2411" i="1"/>
  <c r="G2410" i="1"/>
  <c r="G2403" i="1"/>
  <c r="G2402" i="1"/>
  <c r="G2401" i="1"/>
  <c r="G2394" i="1"/>
  <c r="G2392" i="1"/>
  <c r="G2390" i="1"/>
  <c r="G2389" i="1"/>
  <c r="G2385" i="1"/>
  <c r="G2388" i="1"/>
  <c r="G2387" i="1"/>
  <c r="G2381" i="1"/>
  <c r="G2380" i="1"/>
  <c r="G2373" i="1"/>
  <c r="G2372" i="1"/>
  <c r="G2370" i="1"/>
  <c r="G2369" i="1"/>
  <c r="G2368" i="1"/>
  <c r="G2377" i="1"/>
  <c r="G2376" i="1"/>
  <c r="G2375" i="1"/>
  <c r="G2374" i="1"/>
  <c r="G2366" i="1"/>
  <c r="G2365" i="1"/>
  <c r="G2364" i="1"/>
  <c r="G2363" i="1"/>
  <c r="G2360" i="1"/>
  <c r="G2357" i="1"/>
  <c r="G2356" i="1"/>
  <c r="G2355" i="1"/>
  <c r="G2354" i="1"/>
  <c r="G2353" i="1"/>
  <c r="G2351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6" i="1"/>
  <c r="G2335" i="1"/>
  <c r="F2615" i="1"/>
  <c r="F2612" i="1"/>
  <c r="F2611" i="1"/>
  <c r="F2610" i="1"/>
  <c r="F2609" i="1"/>
  <c r="F2608" i="1"/>
  <c r="F2607" i="1"/>
  <c r="F2606" i="1"/>
  <c r="F2605" i="1"/>
  <c r="F2599" i="1"/>
  <c r="F2598" i="1"/>
  <c r="F2597" i="1"/>
  <c r="F2596" i="1"/>
  <c r="F2594" i="1"/>
  <c r="F2593" i="1"/>
  <c r="F2590" i="1"/>
  <c r="F2588" i="1"/>
  <c r="F2587" i="1"/>
  <c r="F2585" i="1"/>
  <c r="F2584" i="1"/>
  <c r="F2581" i="1"/>
  <c r="F2580" i="1"/>
  <c r="F2576" i="1"/>
  <c r="F2575" i="1"/>
  <c r="F2574" i="1"/>
  <c r="F2573" i="1"/>
  <c r="F2572" i="1"/>
  <c r="F2571" i="1"/>
  <c r="F2570" i="1"/>
  <c r="F2569" i="1"/>
  <c r="F2578" i="1"/>
  <c r="F2577" i="1"/>
  <c r="F2568" i="1"/>
  <c r="F2567" i="1"/>
  <c r="F2564" i="1"/>
  <c r="F2563" i="1"/>
  <c r="F2562" i="1"/>
  <c r="F2561" i="1"/>
  <c r="F2557" i="1"/>
  <c r="F2551" i="1"/>
  <c r="F2550" i="1"/>
  <c r="F2546" i="1"/>
  <c r="F2545" i="1"/>
  <c r="F2544" i="1"/>
  <c r="F2543" i="1"/>
  <c r="F2542" i="1"/>
  <c r="F2540" i="1"/>
  <c r="F2539" i="1"/>
  <c r="F2538" i="1"/>
  <c r="F2537" i="1"/>
  <c r="F2536" i="1"/>
  <c r="F2535" i="1"/>
  <c r="F2534" i="1"/>
  <c r="F2529" i="1"/>
  <c r="F2528" i="1"/>
  <c r="F2527" i="1"/>
  <c r="F2526" i="1"/>
  <c r="F2525" i="1"/>
  <c r="F2524" i="1"/>
  <c r="F2523" i="1"/>
  <c r="F2518" i="1"/>
  <c r="F2516" i="1"/>
  <c r="F2511" i="1"/>
  <c r="F2509" i="1"/>
  <c r="F2508" i="1"/>
  <c r="F2506" i="1"/>
  <c r="F2503" i="1"/>
  <c r="F2504" i="1"/>
  <c r="F2502" i="1"/>
  <c r="F2500" i="1"/>
  <c r="F2501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64" i="1"/>
  <c r="F2463" i="1"/>
  <c r="F2462" i="1"/>
  <c r="F2461" i="1"/>
  <c r="F2460" i="1"/>
  <c r="F2459" i="1"/>
  <c r="F2456" i="1"/>
  <c r="F2454" i="1"/>
  <c r="F2451" i="1"/>
  <c r="F2448" i="1"/>
  <c r="F2446" i="1"/>
  <c r="F2445" i="1"/>
  <c r="F2444" i="1"/>
  <c r="F2442" i="1"/>
  <c r="F2440" i="1"/>
  <c r="F2438" i="1"/>
  <c r="F2437" i="1"/>
  <c r="F2435" i="1"/>
  <c r="F2433" i="1"/>
  <c r="F2432" i="1"/>
  <c r="F2431" i="1"/>
  <c r="F2430" i="1"/>
  <c r="F2424" i="1"/>
  <c r="F2423" i="1"/>
  <c r="F2422" i="1"/>
  <c r="F2419" i="1"/>
  <c r="F2418" i="1"/>
  <c r="F2417" i="1"/>
  <c r="F2415" i="1"/>
  <c r="F2414" i="1"/>
  <c r="F2413" i="1"/>
  <c r="F2412" i="1"/>
  <c r="F2404" i="1"/>
  <c r="F2411" i="1"/>
  <c r="F2410" i="1"/>
  <c r="F2403" i="1"/>
  <c r="F2402" i="1"/>
  <c r="F2401" i="1"/>
  <c r="F2394" i="1"/>
  <c r="F2392" i="1"/>
  <c r="F2390" i="1"/>
  <c r="F2389" i="1"/>
  <c r="F2385" i="1"/>
  <c r="F2388" i="1"/>
  <c r="F2387" i="1"/>
  <c r="F2381" i="1"/>
  <c r="F2380" i="1"/>
  <c r="F2373" i="1"/>
  <c r="F2372" i="1"/>
  <c r="F2370" i="1"/>
  <c r="F2369" i="1"/>
  <c r="F2368" i="1"/>
  <c r="F2377" i="1"/>
  <c r="F2376" i="1"/>
  <c r="F2375" i="1"/>
  <c r="F2374" i="1"/>
  <c r="F2366" i="1"/>
  <c r="F2365" i="1"/>
  <c r="F2364" i="1"/>
  <c r="F2363" i="1"/>
  <c r="F2360" i="1"/>
  <c r="F2357" i="1"/>
  <c r="F2355" i="1"/>
  <c r="F2354" i="1"/>
  <c r="F2353" i="1"/>
  <c r="F2351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6" i="1"/>
  <c r="F2335" i="1"/>
  <c r="F1886" i="1"/>
  <c r="F1885" i="1"/>
  <c r="F1884" i="1"/>
  <c r="F1879" i="1"/>
  <c r="F1877" i="1"/>
  <c r="J1164" i="1"/>
  <c r="J1163" i="1"/>
  <c r="J1162" i="1"/>
  <c r="J1150" i="1"/>
  <c r="J1149" i="1"/>
  <c r="J1148" i="1"/>
  <c r="J1147" i="1"/>
  <c r="J1146" i="1"/>
  <c r="J1145" i="1"/>
  <c r="J1144" i="1"/>
  <c r="J1143" i="1"/>
  <c r="J1130" i="1"/>
  <c r="I1149" i="1"/>
  <c r="I1148" i="1"/>
  <c r="I1145" i="1"/>
  <c r="I1096" i="1" s="1"/>
  <c r="H1164" i="1"/>
  <c r="H1163" i="1"/>
  <c r="H1162" i="1"/>
  <c r="H1150" i="1"/>
  <c r="H1149" i="1"/>
  <c r="H1147" i="1"/>
  <c r="H1148" i="1"/>
  <c r="H1146" i="1"/>
  <c r="H1145" i="1"/>
  <c r="H1144" i="1"/>
  <c r="H1143" i="1"/>
  <c r="H1130" i="1"/>
  <c r="G1163" i="1"/>
  <c r="G1162" i="1"/>
  <c r="G1150" i="1"/>
  <c r="G1149" i="1"/>
  <c r="G1148" i="1"/>
  <c r="G1147" i="1"/>
  <c r="G1145" i="1"/>
  <c r="G1144" i="1"/>
  <c r="G1130" i="1"/>
  <c r="F1164" i="1"/>
  <c r="F1163" i="1"/>
  <c r="F1162" i="1"/>
  <c r="F1150" i="1"/>
  <c r="F1149" i="1"/>
  <c r="F1148" i="1"/>
  <c r="F1147" i="1"/>
  <c r="F1146" i="1"/>
  <c r="F1145" i="1"/>
  <c r="F1144" i="1"/>
  <c r="F1143" i="1"/>
  <c r="F1130" i="1"/>
  <c r="S2758" i="1"/>
  <c r="Q2758" i="1"/>
  <c r="S2759" i="1"/>
  <c r="Q2759" i="1"/>
  <c r="S2755" i="1"/>
  <c r="Q2755" i="1"/>
  <c r="S2754" i="1"/>
  <c r="Q2754" i="1"/>
  <c r="S2753" i="1"/>
  <c r="Q2753" i="1"/>
  <c r="S2752" i="1"/>
  <c r="S2751" i="1"/>
  <c r="Q2751" i="1"/>
  <c r="S2750" i="1"/>
  <c r="Q2750" i="1"/>
  <c r="S2749" i="1"/>
  <c r="Q2749" i="1"/>
  <c r="S2748" i="1"/>
  <c r="Q2748" i="1"/>
  <c r="S2747" i="1"/>
  <c r="Q2747" i="1"/>
  <c r="S2744" i="1"/>
  <c r="Q2744" i="1"/>
  <c r="S1883" i="1"/>
  <c r="Q1883" i="1"/>
  <c r="S2743" i="1"/>
  <c r="Q2743" i="1"/>
  <c r="S2742" i="1"/>
  <c r="Q2742" i="1"/>
  <c r="S2741" i="1"/>
  <c r="Q2741" i="1"/>
  <c r="S2740" i="1"/>
  <c r="Q2740" i="1"/>
  <c r="S2739" i="1"/>
  <c r="Q2739" i="1"/>
  <c r="S2736" i="1"/>
  <c r="Q2736" i="1"/>
  <c r="S2735" i="1"/>
  <c r="Q2735" i="1"/>
  <c r="S2732" i="1"/>
  <c r="Q2732" i="1"/>
  <c r="S2731" i="1"/>
  <c r="Q2731" i="1"/>
  <c r="S2729" i="1"/>
  <c r="S2728" i="1"/>
  <c r="S2727" i="1"/>
  <c r="Q2727" i="1"/>
  <c r="S2726" i="1"/>
  <c r="S2725" i="1"/>
  <c r="Q2725" i="1"/>
  <c r="S2724" i="1"/>
  <c r="Q2724" i="1"/>
  <c r="Q2722" i="1"/>
  <c r="S2721" i="1"/>
  <c r="Q2721" i="1"/>
  <c r="S2717" i="1"/>
  <c r="Q2717" i="1"/>
  <c r="S2716" i="1"/>
  <c r="Q2716" i="1"/>
  <c r="S2712" i="1"/>
  <c r="S2710" i="1"/>
  <c r="Q2710" i="1"/>
  <c r="S2709" i="1"/>
  <c r="S2702" i="1"/>
  <c r="Q2702" i="1"/>
  <c r="S2701" i="1"/>
  <c r="Q2701" i="1"/>
  <c r="S2698" i="1"/>
  <c r="Q2698" i="1"/>
  <c r="S2697" i="1"/>
  <c r="Q2697" i="1"/>
  <c r="S2686" i="1"/>
  <c r="Q2686" i="1"/>
  <c r="S2685" i="1"/>
  <c r="Q2685" i="1"/>
  <c r="S2684" i="1"/>
  <c r="Q2684" i="1"/>
  <c r="S2683" i="1"/>
  <c r="Q2683" i="1"/>
  <c r="F1096" i="1" l="1"/>
  <c r="G1096" i="1"/>
  <c r="J1096" i="1"/>
  <c r="H1096" i="1"/>
  <c r="F1875" i="1"/>
  <c r="S2680" i="1"/>
  <c r="Q2680" i="1"/>
  <c r="S2678" i="1"/>
  <c r="Q2678" i="1"/>
  <c r="S2677" i="1"/>
  <c r="Q2677" i="1"/>
  <c r="S2676" i="1"/>
  <c r="Q2676" i="1"/>
  <c r="S2670" i="1"/>
  <c r="Q2670" i="1"/>
  <c r="S2669" i="1"/>
  <c r="S2667" i="1"/>
  <c r="Q2667" i="1"/>
  <c r="S2660" i="1"/>
  <c r="Q2660" i="1"/>
  <c r="S2659" i="1"/>
  <c r="Q2659" i="1"/>
  <c r="S2662" i="1"/>
  <c r="Q2662" i="1"/>
  <c r="S2658" i="1"/>
  <c r="Q2658" i="1"/>
  <c r="S2653" i="1"/>
  <c r="Q2653" i="1"/>
  <c r="S2652" i="1"/>
  <c r="Q2652" i="1"/>
  <c r="S2650" i="1"/>
  <c r="Q2650" i="1"/>
  <c r="S2649" i="1"/>
  <c r="Q2649" i="1"/>
  <c r="S2646" i="1"/>
  <c r="S2645" i="1"/>
  <c r="Q2645" i="1"/>
  <c r="S2641" i="1"/>
  <c r="Q2641" i="1"/>
  <c r="S2640" i="1"/>
  <c r="Q2640" i="1"/>
  <c r="S2639" i="1"/>
  <c r="Q2639" i="1"/>
  <c r="S2638" i="1"/>
  <c r="Q2638" i="1"/>
  <c r="S2637" i="1"/>
  <c r="Q2637" i="1"/>
  <c r="S2636" i="1"/>
  <c r="Q2636" i="1"/>
  <c r="S2635" i="1"/>
  <c r="Q2635" i="1"/>
  <c r="S2632" i="1"/>
  <c r="Q2632" i="1"/>
  <c r="S2631" i="1"/>
  <c r="Q2631" i="1"/>
  <c r="S2630" i="1"/>
  <c r="Q2630" i="1"/>
  <c r="S2620" i="1"/>
  <c r="Q2620" i="1"/>
  <c r="S2615" i="1"/>
  <c r="S2612" i="1"/>
  <c r="Q2612" i="1"/>
  <c r="S2611" i="1"/>
  <c r="Q2611" i="1"/>
  <c r="S2610" i="1"/>
  <c r="Q2610" i="1"/>
  <c r="S2609" i="1"/>
  <c r="Q2609" i="1"/>
  <c r="S2608" i="1"/>
  <c r="Q2608" i="1"/>
  <c r="S2607" i="1"/>
  <c r="S2606" i="1"/>
  <c r="Q2606" i="1"/>
  <c r="S2605" i="1"/>
  <c r="Q2605" i="1"/>
  <c r="S2598" i="1"/>
  <c r="S2597" i="1"/>
  <c r="Q2597" i="1"/>
  <c r="S2596" i="1"/>
  <c r="Q2596" i="1"/>
  <c r="S2594" i="1"/>
  <c r="Q2594" i="1"/>
  <c r="S2593" i="1"/>
  <c r="Q2593" i="1"/>
  <c r="S2589" i="1"/>
  <c r="S2590" i="1"/>
  <c r="Q2590" i="1"/>
  <c r="S2588" i="1"/>
  <c r="Q2588" i="1"/>
  <c r="S2587" i="1"/>
  <c r="Q2587" i="1"/>
  <c r="S2585" i="1"/>
  <c r="S2584" i="1"/>
  <c r="Q2584" i="1"/>
  <c r="S2581" i="1"/>
  <c r="Q2581" i="1"/>
  <c r="S2580" i="1"/>
  <c r="S2576" i="1"/>
  <c r="Q2576" i="1"/>
  <c r="S2575" i="1"/>
  <c r="Q2575" i="1"/>
  <c r="S2574" i="1"/>
  <c r="Q2574" i="1"/>
  <c r="S2573" i="1"/>
  <c r="Q2573" i="1"/>
  <c r="S2572" i="1"/>
  <c r="Q2572" i="1"/>
  <c r="S2570" i="1"/>
  <c r="Q2570" i="1"/>
  <c r="S2569" i="1"/>
  <c r="Q2569" i="1"/>
  <c r="S2578" i="1"/>
  <c r="Q2578" i="1"/>
  <c r="S2577" i="1"/>
  <c r="Q2577" i="1"/>
  <c r="S2568" i="1"/>
  <c r="Q2568" i="1"/>
  <c r="S2567" i="1"/>
  <c r="Q2567" i="1"/>
  <c r="S2564" i="1"/>
  <c r="Q2564" i="1"/>
  <c r="S2563" i="1"/>
  <c r="Q2563" i="1"/>
  <c r="S2562" i="1"/>
  <c r="Q2562" i="1"/>
  <c r="S2561" i="1"/>
  <c r="Q2561" i="1"/>
  <c r="S2557" i="1"/>
  <c r="Q2557" i="1"/>
  <c r="S2553" i="1"/>
  <c r="Q2553" i="1"/>
  <c r="S2551" i="1"/>
  <c r="Q2551" i="1"/>
  <c r="S2550" i="1"/>
  <c r="Q2550" i="1"/>
  <c r="S2546" i="1"/>
  <c r="Q2546" i="1"/>
  <c r="S2545" i="1"/>
  <c r="S2544" i="1"/>
  <c r="Q2544" i="1"/>
  <c r="S2543" i="1"/>
  <c r="S2542" i="1"/>
  <c r="Q2542" i="1"/>
  <c r="S2540" i="1"/>
  <c r="Q2540" i="1"/>
  <c r="S2539" i="1"/>
  <c r="Q2539" i="1"/>
  <c r="S2537" i="1"/>
  <c r="S2528" i="1"/>
  <c r="Q2528" i="1"/>
  <c r="S2527" i="1"/>
  <c r="Q2527" i="1"/>
  <c r="S2526" i="1"/>
  <c r="Q2526" i="1"/>
  <c r="S2525" i="1"/>
  <c r="Q2525" i="1"/>
  <c r="S2524" i="1"/>
  <c r="Q2524" i="1"/>
  <c r="S2523" i="1"/>
  <c r="Q2523" i="1"/>
  <c r="S2518" i="1"/>
  <c r="Q2518" i="1"/>
  <c r="S2516" i="1"/>
  <c r="Q2516" i="1"/>
  <c r="S2511" i="1"/>
  <c r="Q2511" i="1"/>
  <c r="S2509" i="1"/>
  <c r="Q2509" i="1"/>
  <c r="S2508" i="1"/>
  <c r="Q2508" i="1"/>
  <c r="S2506" i="1"/>
  <c r="Q2506" i="1"/>
  <c r="S2504" i="1"/>
  <c r="Q2504" i="1"/>
  <c r="S2503" i="1"/>
  <c r="Q2503" i="1"/>
  <c r="S2502" i="1"/>
  <c r="Q2502" i="1"/>
  <c r="S2501" i="1"/>
  <c r="S2500" i="1"/>
  <c r="Q2500" i="1"/>
  <c r="S2499" i="1"/>
  <c r="Q2499" i="1"/>
  <c r="S2498" i="1"/>
  <c r="Q2498" i="1"/>
  <c r="S2496" i="1"/>
  <c r="Q2496" i="1"/>
  <c r="S2495" i="1"/>
  <c r="Q2495" i="1"/>
  <c r="S2494" i="1"/>
  <c r="Q2494" i="1"/>
  <c r="S2493" i="1"/>
  <c r="Q2493" i="1"/>
  <c r="S2492" i="1"/>
  <c r="Q2492" i="1"/>
  <c r="S2491" i="1"/>
  <c r="Q2491" i="1"/>
  <c r="S2490" i="1"/>
  <c r="Q2490" i="1"/>
  <c r="S2489" i="1"/>
  <c r="Q2489" i="1"/>
  <c r="S2488" i="1"/>
  <c r="Q2488" i="1"/>
  <c r="S2487" i="1"/>
  <c r="Q2487" i="1"/>
  <c r="S2486" i="1"/>
  <c r="Q2486" i="1"/>
  <c r="S85" i="1"/>
  <c r="Q85" i="1"/>
  <c r="O85" i="1"/>
  <c r="E85" i="1"/>
  <c r="B85" i="1"/>
  <c r="S2485" i="1"/>
  <c r="Q2485" i="1"/>
  <c r="S2484" i="1"/>
  <c r="Q2484" i="1"/>
  <c r="S2483" i="1"/>
  <c r="Q2483" i="1"/>
  <c r="S2482" i="1"/>
  <c r="Q2482" i="1"/>
  <c r="S2481" i="1"/>
  <c r="Q2481" i="1"/>
  <c r="S2480" i="1"/>
  <c r="Q2480" i="1"/>
  <c r="S2479" i="1"/>
  <c r="Q2479" i="1"/>
  <c r="S2478" i="1"/>
  <c r="Q2478" i="1"/>
  <c r="S2477" i="1"/>
  <c r="Q2477" i="1"/>
  <c r="S2464" i="1"/>
  <c r="Q2464" i="1"/>
  <c r="S2462" i="1"/>
  <c r="Q2462" i="1"/>
  <c r="S2461" i="1"/>
  <c r="Q2461" i="1"/>
  <c r="S2460" i="1"/>
  <c r="Q2460" i="1"/>
  <c r="S2456" i="1"/>
  <c r="Q2456" i="1"/>
  <c r="S2454" i="1"/>
  <c r="Q2454" i="1"/>
  <c r="S2451" i="1"/>
  <c r="Q2451" i="1"/>
  <c r="S2448" i="1"/>
  <c r="Q2448" i="1"/>
  <c r="S2447" i="1"/>
  <c r="Q2447" i="1"/>
  <c r="S2446" i="1"/>
  <c r="Q2446" i="1"/>
  <c r="S2445" i="1"/>
  <c r="Q2445" i="1"/>
  <c r="S2444" i="1"/>
  <c r="S2443" i="1"/>
  <c r="Q2443" i="1"/>
  <c r="S2442" i="1"/>
  <c r="Q2442" i="1"/>
  <c r="S2440" i="1"/>
  <c r="Q2440" i="1"/>
  <c r="S2438" i="1"/>
  <c r="S2437" i="1"/>
  <c r="Q2437" i="1"/>
  <c r="S2435" i="1"/>
  <c r="Q2435" i="1"/>
  <c r="S2433" i="1"/>
  <c r="Q2433" i="1"/>
  <c r="S2432" i="1"/>
  <c r="Q2432" i="1"/>
  <c r="S2431" i="1"/>
  <c r="Q2431" i="1"/>
  <c r="S2430" i="1"/>
  <c r="Q2430" i="1"/>
  <c r="S2424" i="1"/>
  <c r="Q2424" i="1"/>
  <c r="S2423" i="1"/>
  <c r="Q2423" i="1"/>
  <c r="S2422" i="1"/>
  <c r="Q2422" i="1"/>
  <c r="S2419" i="1"/>
  <c r="Q2419" i="1"/>
  <c r="S2418" i="1"/>
  <c r="S2417" i="1"/>
  <c r="Q2417" i="1"/>
  <c r="S2415" i="1"/>
  <c r="Q2415" i="1"/>
  <c r="S2413" i="1"/>
  <c r="S2412" i="1"/>
  <c r="Q2412" i="1"/>
  <c r="S2404" i="1"/>
  <c r="Q2404" i="1"/>
  <c r="S2410" i="1"/>
  <c r="Q2410" i="1"/>
  <c r="S2403" i="1"/>
  <c r="S2402" i="1"/>
  <c r="Q2402" i="1"/>
  <c r="S2401" i="1"/>
  <c r="Q2401" i="1"/>
  <c r="S2394" i="1"/>
  <c r="Q2394" i="1"/>
  <c r="S2392" i="1"/>
  <c r="Q2392" i="1"/>
  <c r="S2390" i="1"/>
  <c r="Q2390" i="1"/>
  <c r="S2385" i="1"/>
  <c r="Q2385" i="1"/>
  <c r="S2388" i="1"/>
  <c r="Q2388" i="1"/>
  <c r="S2387" i="1"/>
  <c r="S2380" i="1"/>
  <c r="Q2380" i="1"/>
  <c r="S2373" i="1"/>
  <c r="Q2373" i="1"/>
  <c r="S2372" i="1"/>
  <c r="Q2372" i="1"/>
  <c r="S2370" i="1"/>
  <c r="Q2370" i="1"/>
  <c r="S2369" i="1"/>
  <c r="Q2369" i="1"/>
  <c r="S2368" i="1"/>
  <c r="Q2368" i="1"/>
  <c r="S2378" i="1"/>
  <c r="S2377" i="1"/>
  <c r="Q2377" i="1"/>
  <c r="S2376" i="1"/>
  <c r="Q2376" i="1"/>
  <c r="S2375" i="1"/>
  <c r="Q2375" i="1"/>
  <c r="S2374" i="1"/>
  <c r="Q2374" i="1"/>
  <c r="D85" i="1" l="1"/>
  <c r="S2668" i="1"/>
  <c r="S2366" i="1"/>
  <c r="Q2366" i="1"/>
  <c r="S2365" i="1"/>
  <c r="Q2365" i="1"/>
  <c r="S2364" i="1"/>
  <c r="Q2364" i="1"/>
  <c r="S2363" i="1"/>
  <c r="Q2363" i="1"/>
  <c r="S2360" i="1" l="1"/>
  <c r="Q2360" i="1"/>
  <c r="S2357" i="1"/>
  <c r="Q2357" i="1"/>
  <c r="S2355" i="1"/>
  <c r="Q2355" i="1"/>
  <c r="S2354" i="1"/>
  <c r="Q2354" i="1"/>
  <c r="S2353" i="1"/>
  <c r="Q2353" i="1"/>
  <c r="S2351" i="1"/>
  <c r="Q2351" i="1"/>
  <c r="S2349" i="1"/>
  <c r="Q2349" i="1"/>
  <c r="S2348" i="1"/>
  <c r="Q2348" i="1"/>
  <c r="S2347" i="1"/>
  <c r="Q2347" i="1"/>
  <c r="S2346" i="1"/>
  <c r="Q2346" i="1"/>
  <c r="S2345" i="1"/>
  <c r="Q2345" i="1"/>
  <c r="S2344" i="1"/>
  <c r="Q2344" i="1"/>
  <c r="S2343" i="1"/>
  <c r="Q2343" i="1"/>
  <c r="S2342" i="1"/>
  <c r="Q2342" i="1"/>
  <c r="Q2341" i="1"/>
  <c r="S2340" i="1"/>
  <c r="Q2340" i="1"/>
  <c r="S2339" i="1"/>
  <c r="Q2339" i="1"/>
  <c r="S2338" i="1"/>
  <c r="Q2338" i="1"/>
  <c r="S2336" i="1"/>
  <c r="Q2336" i="1"/>
  <c r="S2330" i="1"/>
  <c r="Q2330" i="1"/>
  <c r="S2329" i="1"/>
  <c r="Q2329" i="1"/>
  <c r="S2331" i="1"/>
  <c r="Q2331" i="1"/>
  <c r="S2312" i="1"/>
  <c r="Q2312" i="1"/>
  <c r="S2314" i="1"/>
  <c r="Q2314" i="1"/>
  <c r="S2313" i="1"/>
  <c r="Q2313" i="1"/>
  <c r="S2311" i="1"/>
  <c r="Q2311" i="1"/>
  <c r="S2310" i="1"/>
  <c r="Q2310" i="1"/>
  <c r="S2306" i="1"/>
  <c r="S2305" i="1"/>
  <c r="Q2305" i="1"/>
  <c r="S2304" i="1"/>
  <c r="Q2304" i="1"/>
  <c r="S2303" i="1"/>
  <c r="Q2303" i="1"/>
  <c r="S2301" i="1"/>
  <c r="Q2301" i="1"/>
  <c r="Q2300" i="1"/>
  <c r="S2300" i="1"/>
  <c r="S2279" i="1" l="1"/>
  <c r="Q2279" i="1"/>
  <c r="S2276" i="1"/>
  <c r="Q2276" i="1"/>
  <c r="E2275" i="1"/>
  <c r="D2275" i="1" s="1"/>
  <c r="S2274" i="1"/>
  <c r="Q2274" i="1"/>
  <c r="S2273" i="1"/>
  <c r="Q2273" i="1"/>
  <c r="S2272" i="1"/>
  <c r="Q2272" i="1"/>
  <c r="S2271" i="1"/>
  <c r="Q2271" i="1"/>
  <c r="S2270" i="1"/>
  <c r="Q2270" i="1"/>
  <c r="S1422" i="1"/>
  <c r="Q1422" i="1"/>
  <c r="O1422" i="1"/>
  <c r="E1422" i="1"/>
  <c r="B1422" i="1"/>
  <c r="E2258" i="1"/>
  <c r="D2258" i="1" s="1"/>
  <c r="S2253" i="1"/>
  <c r="Q2253" i="1"/>
  <c r="Q2250" i="1"/>
  <c r="S2250" i="1"/>
  <c r="S2249" i="1"/>
  <c r="Q2249" i="1"/>
  <c r="S2248" i="1"/>
  <c r="Q2248" i="1"/>
  <c r="S2247" i="1"/>
  <c r="Q2247" i="1"/>
  <c r="S2246" i="1"/>
  <c r="Q2246" i="1"/>
  <c r="S2241" i="1"/>
  <c r="Q2241" i="1"/>
  <c r="S2240" i="1"/>
  <c r="Q2240" i="1"/>
  <c r="S2239" i="1"/>
  <c r="Q2239" i="1"/>
  <c r="S2238" i="1"/>
  <c r="Q2238" i="1"/>
  <c r="S2237" i="1"/>
  <c r="Q2237" i="1"/>
  <c r="S2228" i="1"/>
  <c r="Q2228" i="1"/>
  <c r="S2226" i="1"/>
  <c r="Q2226" i="1"/>
  <c r="S2223" i="1"/>
  <c r="Q2223" i="1"/>
  <c r="S2222" i="1"/>
  <c r="Q2222" i="1"/>
  <c r="S2214" i="1"/>
  <c r="Q2214" i="1"/>
  <c r="S2213" i="1"/>
  <c r="S2212" i="1"/>
  <c r="Q2212" i="1"/>
  <c r="E2218" i="1"/>
  <c r="D2218" i="1" s="1"/>
  <c r="E2215" i="1"/>
  <c r="D2215" i="1" s="1"/>
  <c r="S2211" i="1"/>
  <c r="Q2211" i="1"/>
  <c r="S2210" i="1"/>
  <c r="Q2210" i="1"/>
  <c r="S2208" i="1"/>
  <c r="Q2208" i="1"/>
  <c r="S2206" i="1"/>
  <c r="Q2206" i="1"/>
  <c r="S2205" i="1"/>
  <c r="Q2205" i="1"/>
  <c r="S1946" i="1"/>
  <c r="Q1946" i="1"/>
  <c r="S1945" i="1"/>
  <c r="Q1945" i="1"/>
  <c r="S1943" i="1"/>
  <c r="Q1943" i="1"/>
  <c r="S1940" i="1"/>
  <c r="Q1940" i="1"/>
  <c r="S1935" i="1"/>
  <c r="Q1935" i="1"/>
  <c r="S1934" i="1"/>
  <c r="Q1934" i="1"/>
  <c r="S1939" i="1"/>
  <c r="Q1939" i="1"/>
  <c r="S1938" i="1"/>
  <c r="Q1938" i="1"/>
  <c r="S1937" i="1"/>
  <c r="Q1937" i="1"/>
  <c r="S1936" i="1"/>
  <c r="Q1936" i="1"/>
  <c r="S1931" i="1"/>
  <c r="Q1931" i="1"/>
  <c r="S1930" i="1"/>
  <c r="Q1930" i="1"/>
  <c r="S1929" i="1"/>
  <c r="Q1929" i="1"/>
  <c r="S1924" i="1"/>
  <c r="Q1924" i="1"/>
  <c r="S1923" i="1"/>
  <c r="Q1923" i="1"/>
  <c r="S1922" i="1"/>
  <c r="Q1922" i="1"/>
  <c r="S1921" i="1"/>
  <c r="Q1921" i="1"/>
  <c r="S1917" i="1"/>
  <c r="Q1917" i="1"/>
  <c r="S1916" i="1"/>
  <c r="Q1916" i="1"/>
  <c r="S1918" i="1"/>
  <c r="Q1918" i="1"/>
  <c r="S1914" i="1"/>
  <c r="Q1914" i="1"/>
  <c r="S1913" i="1"/>
  <c r="Q1913" i="1"/>
  <c r="S1912" i="1"/>
  <c r="Q1912" i="1"/>
  <c r="S1911" i="1"/>
  <c r="Q1911" i="1"/>
  <c r="S1910" i="1"/>
  <c r="Q1910" i="1"/>
  <c r="S1909" i="1"/>
  <c r="Q1909" i="1"/>
  <c r="S1908" i="1"/>
  <c r="Q1908" i="1"/>
  <c r="S1907" i="1"/>
  <c r="Q1907" i="1"/>
  <c r="S1906" i="1"/>
  <c r="Q1906" i="1"/>
  <c r="S1905" i="1"/>
  <c r="Q1905" i="1"/>
  <c r="S2288" i="1"/>
  <c r="Q2288" i="1"/>
  <c r="E2288" i="1"/>
  <c r="D2288" i="1" s="1"/>
  <c r="B2288" i="1"/>
  <c r="F100" i="1"/>
  <c r="F98" i="1"/>
  <c r="G94" i="1"/>
  <c r="F94" i="1"/>
  <c r="J90" i="1"/>
  <c r="H90" i="1"/>
  <c r="G90" i="1"/>
  <c r="F91" i="1"/>
  <c r="F90" i="1"/>
  <c r="S2036" i="1"/>
  <c r="Q2036" i="1"/>
  <c r="S1904" i="1"/>
  <c r="Q1904" i="1"/>
  <c r="B1904" i="1"/>
  <c r="S1901" i="1"/>
  <c r="Q1901" i="1"/>
  <c r="S1900" i="1"/>
  <c r="Q1900" i="1"/>
  <c r="S1897" i="1"/>
  <c r="Q1897" i="1"/>
  <c r="S1896" i="1"/>
  <c r="Q1896" i="1"/>
  <c r="S1895" i="1"/>
  <c r="Q1895" i="1"/>
  <c r="S2201" i="1"/>
  <c r="Q2201" i="1"/>
  <c r="S2200" i="1"/>
  <c r="Q2200" i="1"/>
  <c r="S2198" i="1"/>
  <c r="Q2198" i="1"/>
  <c r="S2197" i="1"/>
  <c r="Q2197" i="1"/>
  <c r="S2196" i="1"/>
  <c r="Q2196" i="1"/>
  <c r="S2183" i="1"/>
  <c r="Q2183" i="1"/>
  <c r="S2182" i="1"/>
  <c r="Q2182" i="1"/>
  <c r="S2186" i="1"/>
  <c r="Q2186" i="1"/>
  <c r="S2185" i="1"/>
  <c r="S2177" i="1"/>
  <c r="S2168" i="1"/>
  <c r="Q2168" i="1"/>
  <c r="S2167" i="1"/>
  <c r="Q2167" i="1"/>
  <c r="S2165" i="1"/>
  <c r="Q2165" i="1"/>
  <c r="S2164" i="1"/>
  <c r="S2163" i="1"/>
  <c r="Q2163" i="1"/>
  <c r="S2162" i="1"/>
  <c r="Q2162" i="1"/>
  <c r="S2160" i="1"/>
  <c r="Q2160" i="1"/>
  <c r="S2158" i="1"/>
  <c r="Q2158" i="1"/>
  <c r="S2157" i="1"/>
  <c r="Q2157" i="1"/>
  <c r="S2159" i="1"/>
  <c r="Q2159" i="1"/>
  <c r="S2156" i="1"/>
  <c r="Q2156" i="1"/>
  <c r="S2144" i="1"/>
  <c r="Q2144" i="1"/>
  <c r="S2143" i="1"/>
  <c r="Q2143" i="1"/>
  <c r="S2140" i="1"/>
  <c r="Q2140" i="1"/>
  <c r="S2128" i="1"/>
  <c r="Q2128" i="1"/>
  <c r="D1422" i="1" l="1"/>
  <c r="D1904" i="1"/>
  <c r="Q2199" i="1"/>
  <c r="S2199" i="1"/>
  <c r="S2106" i="1"/>
  <c r="Q2106" i="1"/>
  <c r="S2102" i="1"/>
  <c r="Q2102" i="1"/>
  <c r="S2100" i="1"/>
  <c r="Q2100" i="1"/>
  <c r="S2061" i="1"/>
  <c r="Q2050" i="1" l="1"/>
  <c r="Q2049" i="1"/>
  <c r="Q2048" i="1"/>
  <c r="S2048" i="1"/>
  <c r="Q2046" i="1"/>
  <c r="S2044" i="1"/>
  <c r="Q2042" i="1"/>
  <c r="S2040" i="1"/>
  <c r="S2038" i="1"/>
  <c r="Q2038" i="1"/>
  <c r="Q2035" i="1"/>
  <c r="S2035" i="1"/>
  <c r="Q2034" i="1"/>
  <c r="Q2033" i="1"/>
  <c r="S2028" i="1"/>
  <c r="Q2028" i="1"/>
  <c r="S2026" i="1"/>
  <c r="S2025" i="1"/>
  <c r="S2014" i="1"/>
  <c r="E2758" i="1" l="1"/>
  <c r="D2758" i="1" s="1"/>
  <c r="E2759" i="1"/>
  <c r="D2759" i="1" s="1"/>
  <c r="S2757" i="1"/>
  <c r="Q2757" i="1"/>
  <c r="E2757" i="1"/>
  <c r="E2755" i="1"/>
  <c r="D2755" i="1" s="1"/>
  <c r="E2754" i="1"/>
  <c r="D2754" i="1" s="1"/>
  <c r="E2753" i="1"/>
  <c r="D2753" i="1" s="1"/>
  <c r="Q2752" i="1"/>
  <c r="E2752" i="1"/>
  <c r="E2751" i="1"/>
  <c r="D2751" i="1" s="1"/>
  <c r="E2750" i="1"/>
  <c r="D2750" i="1" s="1"/>
  <c r="E2749" i="1"/>
  <c r="D2749" i="1" s="1"/>
  <c r="E2748" i="1"/>
  <c r="D2748" i="1" s="1"/>
  <c r="E2747" i="1"/>
  <c r="D2747" i="1" s="1"/>
  <c r="S2746" i="1"/>
  <c r="Q2746" i="1"/>
  <c r="E2746" i="1"/>
  <c r="E2744" i="1"/>
  <c r="D2744" i="1" s="1"/>
  <c r="E1883" i="1"/>
  <c r="D1883" i="1" s="1"/>
  <c r="E2743" i="1"/>
  <c r="D2743" i="1" s="1"/>
  <c r="E2742" i="1"/>
  <c r="D2742" i="1" s="1"/>
  <c r="E2741" i="1"/>
  <c r="D2741" i="1" s="1"/>
  <c r="E2740" i="1"/>
  <c r="D2740" i="1" s="1"/>
  <c r="S1881" i="1"/>
  <c r="Q1881" i="1"/>
  <c r="E1881" i="1"/>
  <c r="E2739" i="1"/>
  <c r="D2739" i="1" s="1"/>
  <c r="E2736" i="1"/>
  <c r="D2736" i="1" s="1"/>
  <c r="E2735" i="1"/>
  <c r="D2735" i="1" s="1"/>
  <c r="E2732" i="1"/>
  <c r="D2732" i="1" s="1"/>
  <c r="E2731" i="1"/>
  <c r="D2731" i="1" s="1"/>
  <c r="S2730" i="1"/>
  <c r="Q2730" i="1"/>
  <c r="E2730" i="1"/>
  <c r="Q2729" i="1"/>
  <c r="E2729" i="1"/>
  <c r="Q2728" i="1"/>
  <c r="E2728" i="1"/>
  <c r="D2728" i="1" s="1"/>
  <c r="E2727" i="1"/>
  <c r="D2727" i="1" s="1"/>
  <c r="Q2726" i="1"/>
  <c r="E2726" i="1"/>
  <c r="E2725" i="1"/>
  <c r="D2725" i="1" s="1"/>
  <c r="E2724" i="1"/>
  <c r="D2724" i="1" s="1"/>
  <c r="E2722" i="1"/>
  <c r="D2722" i="1" s="1"/>
  <c r="E2721" i="1"/>
  <c r="D2721" i="1" s="1"/>
  <c r="S2718" i="1"/>
  <c r="Q2718" i="1"/>
  <c r="E2718" i="1"/>
  <c r="E2717" i="1"/>
  <c r="D2717" i="1" s="1"/>
  <c r="E2716" i="1"/>
  <c r="D2716" i="1" s="1"/>
  <c r="S2714" i="1"/>
  <c r="Q2714" i="1"/>
  <c r="E2714" i="1"/>
  <c r="Q2712" i="1"/>
  <c r="E2712" i="1"/>
  <c r="D2712" i="1" s="1"/>
  <c r="S2711" i="1"/>
  <c r="S2708" i="1" s="1"/>
  <c r="Q2711" i="1"/>
  <c r="E2711" i="1"/>
  <c r="E2710" i="1"/>
  <c r="D2710" i="1" s="1"/>
  <c r="Q2709" i="1"/>
  <c r="E2709" i="1"/>
  <c r="S2707" i="1"/>
  <c r="Q2707" i="1"/>
  <c r="E2707" i="1"/>
  <c r="S2705" i="1"/>
  <c r="Q2705" i="1"/>
  <c r="E2705" i="1"/>
  <c r="D2705" i="1" s="1"/>
  <c r="S2703" i="1"/>
  <c r="Q2703" i="1"/>
  <c r="E2703" i="1"/>
  <c r="E2702" i="1"/>
  <c r="D2702" i="1" s="1"/>
  <c r="E2701" i="1"/>
  <c r="D2701" i="1" s="1"/>
  <c r="S2700" i="1"/>
  <c r="Q2700" i="1"/>
  <c r="E2700" i="1"/>
  <c r="D2700" i="1" s="1"/>
  <c r="E2698" i="1"/>
  <c r="D2698" i="1" s="1"/>
  <c r="E2697" i="1"/>
  <c r="D2697" i="1" s="1"/>
  <c r="S2696" i="1"/>
  <c r="Q2696" i="1"/>
  <c r="E2696" i="1"/>
  <c r="S2695" i="1"/>
  <c r="Q2695" i="1"/>
  <c r="E2695" i="1"/>
  <c r="D2695" i="1" s="1"/>
  <c r="S2691" i="1"/>
  <c r="Q2691" i="1"/>
  <c r="E2691" i="1"/>
  <c r="E2686" i="1"/>
  <c r="D2686" i="1" s="1"/>
  <c r="E2685" i="1"/>
  <c r="D2685" i="1" s="1"/>
  <c r="E2684" i="1"/>
  <c r="D2684" i="1" s="1"/>
  <c r="E2683" i="1"/>
  <c r="D2683" i="1" s="1"/>
  <c r="E2680" i="1"/>
  <c r="D2680" i="1" s="1"/>
  <c r="E2678" i="1"/>
  <c r="D2678" i="1" s="1"/>
  <c r="E2677" i="1"/>
  <c r="D2677" i="1" s="1"/>
  <c r="E2676" i="1"/>
  <c r="D2676" i="1" s="1"/>
  <c r="E2670" i="1"/>
  <c r="D2670" i="1" s="1"/>
  <c r="Q2669" i="1"/>
  <c r="Q2668" i="1" s="1"/>
  <c r="E2669" i="1"/>
  <c r="E2667" i="1"/>
  <c r="D2667" i="1" s="1"/>
  <c r="E2660" i="1"/>
  <c r="D2660" i="1" s="1"/>
  <c r="E2659" i="1"/>
  <c r="D2659" i="1" s="1"/>
  <c r="E2662" i="1"/>
  <c r="D2662" i="1" s="1"/>
  <c r="E2658" i="1"/>
  <c r="D2658" i="1" s="1"/>
  <c r="E2653" i="1"/>
  <c r="D2653" i="1" s="1"/>
  <c r="E2652" i="1"/>
  <c r="D2652" i="1" s="1"/>
  <c r="S2651" i="1"/>
  <c r="Q2651" i="1"/>
  <c r="E2651" i="1"/>
  <c r="D2651" i="1" s="1"/>
  <c r="E2650" i="1"/>
  <c r="D2650" i="1" s="1"/>
  <c r="E2649" i="1"/>
  <c r="D2649" i="1" s="1"/>
  <c r="Q2646" i="1"/>
  <c r="E2646" i="1"/>
  <c r="D2646" i="1" s="1"/>
  <c r="E2645" i="1"/>
  <c r="D2645" i="1" s="1"/>
  <c r="E2641" i="1"/>
  <c r="D2641" i="1" s="1"/>
  <c r="E2640" i="1"/>
  <c r="D2640" i="1" s="1"/>
  <c r="E2639" i="1"/>
  <c r="D2639" i="1" s="1"/>
  <c r="E2638" i="1"/>
  <c r="D2638" i="1" s="1"/>
  <c r="E2637" i="1"/>
  <c r="D2637" i="1" s="1"/>
  <c r="E2636" i="1"/>
  <c r="D2636" i="1" s="1"/>
  <c r="E2635" i="1"/>
  <c r="D2635" i="1" s="1"/>
  <c r="S2633" i="1"/>
  <c r="E2633" i="1"/>
  <c r="E2632" i="1"/>
  <c r="D2632" i="1" s="1"/>
  <c r="E2631" i="1"/>
  <c r="D2631" i="1" s="1"/>
  <c r="E2630" i="1"/>
  <c r="D2630" i="1" s="1"/>
  <c r="E2620" i="1"/>
  <c r="D2620" i="1" s="1"/>
  <c r="S2619" i="1"/>
  <c r="Q2619" i="1"/>
  <c r="E2619" i="1"/>
  <c r="S2618" i="1"/>
  <c r="Q2618" i="1"/>
  <c r="E2618" i="1"/>
  <c r="D2618" i="1" s="1"/>
  <c r="S2617" i="1"/>
  <c r="Q2617" i="1"/>
  <c r="E2617" i="1"/>
  <c r="Q2615" i="1"/>
  <c r="E2615" i="1"/>
  <c r="E2612" i="1"/>
  <c r="D2612" i="1" s="1"/>
  <c r="E2611" i="1"/>
  <c r="D2611" i="1" s="1"/>
  <c r="E2610" i="1"/>
  <c r="D2610" i="1" s="1"/>
  <c r="E2609" i="1"/>
  <c r="D2609" i="1" s="1"/>
  <c r="E2608" i="1"/>
  <c r="D2608" i="1" s="1"/>
  <c r="Q2607" i="1"/>
  <c r="E2607" i="1"/>
  <c r="D2607" i="1" s="1"/>
  <c r="E2606" i="1"/>
  <c r="D2606" i="1" s="1"/>
  <c r="E2605" i="1"/>
  <c r="D2605" i="1" s="1"/>
  <c r="S2599" i="1"/>
  <c r="Q2599" i="1"/>
  <c r="E2599" i="1"/>
  <c r="Q2598" i="1"/>
  <c r="E2598" i="1"/>
  <c r="E2597" i="1"/>
  <c r="D2597" i="1" s="1"/>
  <c r="E2596" i="1"/>
  <c r="D2596" i="1" s="1"/>
  <c r="E2594" i="1"/>
  <c r="D2594" i="1" s="1"/>
  <c r="E2593" i="1"/>
  <c r="D2593" i="1" s="1"/>
  <c r="Q2589" i="1"/>
  <c r="E2589" i="1"/>
  <c r="E2590" i="1"/>
  <c r="D2590" i="1" s="1"/>
  <c r="E2588" i="1"/>
  <c r="D2588" i="1" s="1"/>
  <c r="E2587" i="1"/>
  <c r="D2587" i="1" s="1"/>
  <c r="Q2585" i="1"/>
  <c r="E2585" i="1"/>
  <c r="E2584" i="1"/>
  <c r="D2584" i="1" s="1"/>
  <c r="E2581" i="1"/>
  <c r="D2581" i="1" s="1"/>
  <c r="Q2580" i="1"/>
  <c r="E2580" i="1"/>
  <c r="E2576" i="1"/>
  <c r="D2576" i="1" s="1"/>
  <c r="E2575" i="1"/>
  <c r="D2575" i="1" s="1"/>
  <c r="E2574" i="1"/>
  <c r="D2574" i="1" s="1"/>
  <c r="E2573" i="1"/>
  <c r="D2573" i="1" s="1"/>
  <c r="E2572" i="1"/>
  <c r="D2572" i="1" s="1"/>
  <c r="S2571" i="1"/>
  <c r="Q2571" i="1"/>
  <c r="E2571" i="1"/>
  <c r="E2570" i="1"/>
  <c r="D2570" i="1" s="1"/>
  <c r="E2569" i="1"/>
  <c r="D2569" i="1" s="1"/>
  <c r="E2578" i="1"/>
  <c r="D2578" i="1" s="1"/>
  <c r="E2577" i="1"/>
  <c r="D2577" i="1" s="1"/>
  <c r="E2568" i="1"/>
  <c r="D2568" i="1" s="1"/>
  <c r="E2567" i="1"/>
  <c r="D2567" i="1" s="1"/>
  <c r="E2564" i="1"/>
  <c r="D2564" i="1" s="1"/>
  <c r="E2563" i="1"/>
  <c r="D2563" i="1" s="1"/>
  <c r="E2562" i="1"/>
  <c r="D2562" i="1" s="1"/>
  <c r="E2561" i="1"/>
  <c r="D2561" i="1" s="1"/>
  <c r="E2557" i="1"/>
  <c r="D2557" i="1" s="1"/>
  <c r="E2553" i="1"/>
  <c r="D2553" i="1" s="1"/>
  <c r="E2551" i="1"/>
  <c r="D2551" i="1" s="1"/>
  <c r="E2550" i="1"/>
  <c r="D2550" i="1" s="1"/>
  <c r="E2546" i="1"/>
  <c r="D2546" i="1" s="1"/>
  <c r="Q2545" i="1"/>
  <c r="E2545" i="1"/>
  <c r="D2545" i="1" s="1"/>
  <c r="E2544" i="1"/>
  <c r="D2544" i="1" s="1"/>
  <c r="Q2543" i="1"/>
  <c r="E2543" i="1"/>
  <c r="E2542" i="1"/>
  <c r="D2542" i="1" s="1"/>
  <c r="E2540" i="1"/>
  <c r="D2540" i="1" s="1"/>
  <c r="E2539" i="1"/>
  <c r="D2539" i="1" s="1"/>
  <c r="S2538" i="1"/>
  <c r="Q2538" i="1"/>
  <c r="E2538" i="1"/>
  <c r="D2538" i="1" s="1"/>
  <c r="Q2537" i="1"/>
  <c r="E2537" i="1"/>
  <c r="S2536" i="1"/>
  <c r="Q2536" i="1"/>
  <c r="E2536" i="1"/>
  <c r="S2535" i="1"/>
  <c r="Q2535" i="1"/>
  <c r="E2535" i="1"/>
  <c r="D2535" i="1" s="1"/>
  <c r="S2534" i="1"/>
  <c r="Q2534" i="1"/>
  <c r="E2534" i="1"/>
  <c r="S2529" i="1"/>
  <c r="Q2529" i="1"/>
  <c r="E2529" i="1"/>
  <c r="E2528" i="1"/>
  <c r="D2528" i="1" s="1"/>
  <c r="E2527" i="1"/>
  <c r="D2527" i="1" s="1"/>
  <c r="E2526" i="1"/>
  <c r="D2526" i="1" s="1"/>
  <c r="E2525" i="1"/>
  <c r="D2525" i="1" s="1"/>
  <c r="E2524" i="1"/>
  <c r="D2524" i="1" s="1"/>
  <c r="E2523" i="1"/>
  <c r="D2523" i="1" s="1"/>
  <c r="E2518" i="1"/>
  <c r="D2518" i="1" s="1"/>
  <c r="E2516" i="1"/>
  <c r="D2516" i="1" s="1"/>
  <c r="S2514" i="1"/>
  <c r="Q2514" i="1"/>
  <c r="E2514" i="1"/>
  <c r="E2511" i="1"/>
  <c r="D2511" i="1" s="1"/>
  <c r="E2509" i="1"/>
  <c r="D2509" i="1" s="1"/>
  <c r="E2508" i="1"/>
  <c r="D2508" i="1" s="1"/>
  <c r="E2506" i="1"/>
  <c r="D2506" i="1" s="1"/>
  <c r="E2504" i="1"/>
  <c r="D2504" i="1" s="1"/>
  <c r="E2503" i="1"/>
  <c r="D2503" i="1" s="1"/>
  <c r="E2502" i="1"/>
  <c r="D2502" i="1" s="1"/>
  <c r="Q2501" i="1"/>
  <c r="E2501" i="1"/>
  <c r="E2500" i="1"/>
  <c r="D2500" i="1" s="1"/>
  <c r="E2499" i="1"/>
  <c r="D2499" i="1" s="1"/>
  <c r="E2498" i="1"/>
  <c r="D2498" i="1" s="1"/>
  <c r="S2497" i="1"/>
  <c r="Q2497" i="1"/>
  <c r="E2497" i="1"/>
  <c r="D2497" i="1" s="1"/>
  <c r="E2496" i="1"/>
  <c r="D2496" i="1" s="1"/>
  <c r="E2495" i="1"/>
  <c r="D2495" i="1" s="1"/>
  <c r="E2494" i="1"/>
  <c r="D2494" i="1" s="1"/>
  <c r="E2493" i="1"/>
  <c r="D2493" i="1" s="1"/>
  <c r="E2492" i="1"/>
  <c r="D2492" i="1" s="1"/>
  <c r="E2491" i="1"/>
  <c r="D2491" i="1" s="1"/>
  <c r="E2490" i="1"/>
  <c r="D2490" i="1" s="1"/>
  <c r="E2489" i="1"/>
  <c r="D2489" i="1" s="1"/>
  <c r="E2488" i="1"/>
  <c r="D2488" i="1" s="1"/>
  <c r="E2487" i="1"/>
  <c r="D2487" i="1" s="1"/>
  <c r="E2486" i="1"/>
  <c r="D2486" i="1" s="1"/>
  <c r="E2485" i="1"/>
  <c r="D2485" i="1" s="1"/>
  <c r="E2484" i="1"/>
  <c r="D2484" i="1" s="1"/>
  <c r="E2483" i="1"/>
  <c r="D2483" i="1" s="1"/>
  <c r="E2482" i="1"/>
  <c r="D2482" i="1" s="1"/>
  <c r="E2481" i="1"/>
  <c r="D2481" i="1" s="1"/>
  <c r="E2480" i="1"/>
  <c r="D2480" i="1" s="1"/>
  <c r="E2479" i="1"/>
  <c r="D2479" i="1" s="1"/>
  <c r="E2478" i="1"/>
  <c r="D2478" i="1" s="1"/>
  <c r="E2477" i="1"/>
  <c r="D2477" i="1" s="1"/>
  <c r="E2464" i="1"/>
  <c r="D2464" i="1" s="1"/>
  <c r="S2463" i="1"/>
  <c r="Q2463" i="1"/>
  <c r="E2463" i="1"/>
  <c r="D2463" i="1" s="1"/>
  <c r="E2462" i="1"/>
  <c r="D2462" i="1" s="1"/>
  <c r="E2461" i="1"/>
  <c r="D2461" i="1" s="1"/>
  <c r="E2460" i="1"/>
  <c r="D2460" i="1" s="1"/>
  <c r="S2459" i="1"/>
  <c r="Q2459" i="1"/>
  <c r="E2459" i="1"/>
  <c r="E2456" i="1"/>
  <c r="D2456" i="1" s="1"/>
  <c r="E2454" i="1"/>
  <c r="D2454" i="1" s="1"/>
  <c r="E2451" i="1"/>
  <c r="D2451" i="1" s="1"/>
  <c r="E2448" i="1"/>
  <c r="D2448" i="1" s="1"/>
  <c r="E2447" i="1"/>
  <c r="D2447" i="1" s="1"/>
  <c r="E2446" i="1"/>
  <c r="D2446" i="1" s="1"/>
  <c r="E2445" i="1"/>
  <c r="D2445" i="1" s="1"/>
  <c r="Q2444" i="1"/>
  <c r="E2444" i="1"/>
  <c r="D2444" i="1" s="1"/>
  <c r="E2443" i="1"/>
  <c r="D2443" i="1" s="1"/>
  <c r="E2442" i="1"/>
  <c r="D2442" i="1" s="1"/>
  <c r="E2440" i="1"/>
  <c r="D2440" i="1" s="1"/>
  <c r="Q2438" i="1"/>
  <c r="E2438" i="1"/>
  <c r="D2438" i="1" s="1"/>
  <c r="E2437" i="1"/>
  <c r="D2437" i="1" s="1"/>
  <c r="E2435" i="1"/>
  <c r="D2435" i="1" s="1"/>
  <c r="E2433" i="1"/>
  <c r="D2433" i="1" s="1"/>
  <c r="E2432" i="1"/>
  <c r="D2432" i="1" s="1"/>
  <c r="E2431" i="1"/>
  <c r="D2431" i="1" s="1"/>
  <c r="E2430" i="1"/>
  <c r="D2430" i="1" s="1"/>
  <c r="E2424" i="1"/>
  <c r="D2424" i="1" s="1"/>
  <c r="E2423" i="1"/>
  <c r="D2423" i="1" s="1"/>
  <c r="E2422" i="1"/>
  <c r="D2422" i="1" s="1"/>
  <c r="E2419" i="1"/>
  <c r="D2419" i="1" s="1"/>
  <c r="Q2418" i="1"/>
  <c r="E2418" i="1"/>
  <c r="D2418" i="1" s="1"/>
  <c r="E2417" i="1"/>
  <c r="D2417" i="1" s="1"/>
  <c r="E2415" i="1"/>
  <c r="D2415" i="1" s="1"/>
  <c r="S2414" i="1"/>
  <c r="Q2414" i="1"/>
  <c r="E2414" i="1"/>
  <c r="Q2413" i="1"/>
  <c r="E2413" i="1"/>
  <c r="D2413" i="1" s="1"/>
  <c r="E2412" i="1"/>
  <c r="D2412" i="1" s="1"/>
  <c r="E2404" i="1"/>
  <c r="D2404" i="1" s="1"/>
  <c r="S2411" i="1"/>
  <c r="Q2411" i="1"/>
  <c r="E2411" i="1"/>
  <c r="D2411" i="1" s="1"/>
  <c r="E2410" i="1"/>
  <c r="D2410" i="1" s="1"/>
  <c r="Q2403" i="1"/>
  <c r="E2403" i="1"/>
  <c r="D2403" i="1" s="1"/>
  <c r="E2402" i="1"/>
  <c r="D2402" i="1" s="1"/>
  <c r="E2401" i="1"/>
  <c r="D2401" i="1" s="1"/>
  <c r="E2394" i="1"/>
  <c r="D2394" i="1" s="1"/>
  <c r="E2392" i="1"/>
  <c r="D2392" i="1" s="1"/>
  <c r="E2390" i="1"/>
  <c r="D2390" i="1" s="1"/>
  <c r="S2389" i="1"/>
  <c r="Q2389" i="1"/>
  <c r="E2389" i="1"/>
  <c r="E2385" i="1"/>
  <c r="D2385" i="1" s="1"/>
  <c r="E2388" i="1"/>
  <c r="D2388" i="1" s="1"/>
  <c r="Q2387" i="1"/>
  <c r="E2387" i="1"/>
  <c r="D2387" i="1" s="1"/>
  <c r="S2381" i="1"/>
  <c r="Q2381" i="1"/>
  <c r="E2381" i="1"/>
  <c r="E2380" i="1"/>
  <c r="D2380" i="1" s="1"/>
  <c r="E2373" i="1"/>
  <c r="D2373" i="1" s="1"/>
  <c r="E2372" i="1"/>
  <c r="D2372" i="1" s="1"/>
  <c r="E2370" i="1"/>
  <c r="D2370" i="1" s="1"/>
  <c r="E2369" i="1"/>
  <c r="D2369" i="1" s="1"/>
  <c r="E2368" i="1"/>
  <c r="D2368" i="1" s="1"/>
  <c r="Q2378" i="1"/>
  <c r="E2378" i="1"/>
  <c r="E2377" i="1"/>
  <c r="D2377" i="1" s="1"/>
  <c r="E2376" i="1"/>
  <c r="D2376" i="1" s="1"/>
  <c r="E2375" i="1"/>
  <c r="D2375" i="1" s="1"/>
  <c r="E2374" i="1"/>
  <c r="D2374" i="1" s="1"/>
  <c r="E2366" i="1"/>
  <c r="D2366" i="1" s="1"/>
  <c r="E2365" i="1"/>
  <c r="D2365" i="1" s="1"/>
  <c r="E2364" i="1"/>
  <c r="D2364" i="1" s="1"/>
  <c r="E2363" i="1"/>
  <c r="D2363" i="1" s="1"/>
  <c r="E2360" i="1"/>
  <c r="D2360" i="1" s="1"/>
  <c r="E2357" i="1"/>
  <c r="D2357" i="1" s="1"/>
  <c r="E2355" i="1"/>
  <c r="D2355" i="1" s="1"/>
  <c r="E2354" i="1"/>
  <c r="D2354" i="1" s="1"/>
  <c r="E2353" i="1"/>
  <c r="D2353" i="1" s="1"/>
  <c r="E2351" i="1"/>
  <c r="D2351" i="1" s="1"/>
  <c r="E2349" i="1"/>
  <c r="D2349" i="1" s="1"/>
  <c r="E2348" i="1"/>
  <c r="D2348" i="1" s="1"/>
  <c r="E2347" i="1"/>
  <c r="D2347" i="1" s="1"/>
  <c r="E2346" i="1"/>
  <c r="D2346" i="1" s="1"/>
  <c r="E2345" i="1"/>
  <c r="D2345" i="1" s="1"/>
  <c r="E2344" i="1"/>
  <c r="D2344" i="1" s="1"/>
  <c r="E2343" i="1"/>
  <c r="D2343" i="1" s="1"/>
  <c r="E2342" i="1"/>
  <c r="D2342" i="1" s="1"/>
  <c r="S2341" i="1"/>
  <c r="E2341" i="1"/>
  <c r="E2340" i="1"/>
  <c r="D2340" i="1" s="1"/>
  <c r="E2339" i="1"/>
  <c r="D2339" i="1" s="1"/>
  <c r="E2338" i="1"/>
  <c r="D2338" i="1" s="1"/>
  <c r="E2336" i="1"/>
  <c r="D2336" i="1" s="1"/>
  <c r="S2335" i="1"/>
  <c r="Q2335" i="1"/>
  <c r="E2335" i="1"/>
  <c r="E2330" i="1"/>
  <c r="D2330" i="1" s="1"/>
  <c r="E2329" i="1"/>
  <c r="D2329" i="1" s="1"/>
  <c r="E2331" i="1"/>
  <c r="D2331" i="1" s="1"/>
  <c r="S2323" i="1"/>
  <c r="Q2323" i="1"/>
  <c r="E2323" i="1"/>
  <c r="S2322" i="1"/>
  <c r="Q2322" i="1"/>
  <c r="E2322" i="1"/>
  <c r="S2321" i="1"/>
  <c r="Q2321" i="1"/>
  <c r="E2321" i="1"/>
  <c r="S2319" i="1"/>
  <c r="Q2319" i="1"/>
  <c r="E2319" i="1"/>
  <c r="D2319" i="1" s="1"/>
  <c r="S2316" i="1"/>
  <c r="Q2316" i="1"/>
  <c r="E2316" i="1"/>
  <c r="E2312" i="1"/>
  <c r="D2312" i="1" s="1"/>
  <c r="E2314" i="1"/>
  <c r="D2314" i="1" s="1"/>
  <c r="E2313" i="1"/>
  <c r="D2313" i="1" s="1"/>
  <c r="E2311" i="1"/>
  <c r="D2311" i="1" s="1"/>
  <c r="E2310" i="1"/>
  <c r="D2310" i="1" s="1"/>
  <c r="Q2306" i="1"/>
  <c r="E2306" i="1"/>
  <c r="E2305" i="1"/>
  <c r="D2305" i="1" s="1"/>
  <c r="E2304" i="1"/>
  <c r="D2304" i="1" s="1"/>
  <c r="E2303" i="1"/>
  <c r="D2303" i="1" s="1"/>
  <c r="E2301" i="1"/>
  <c r="D2301" i="1" s="1"/>
  <c r="E2300" i="1"/>
  <c r="D2300" i="1" s="1"/>
  <c r="S2299" i="1"/>
  <c r="Q2299" i="1"/>
  <c r="E2299" i="1"/>
  <c r="S2298" i="1"/>
  <c r="Q2298" i="1"/>
  <c r="E2298" i="1"/>
  <c r="S2297" i="1"/>
  <c r="Q2297" i="1"/>
  <c r="E2297" i="1"/>
  <c r="D2297" i="1" s="1"/>
  <c r="S2295" i="1"/>
  <c r="Q2295" i="1"/>
  <c r="E2295" i="1"/>
  <c r="S2294" i="1"/>
  <c r="Q2294" i="1"/>
  <c r="E2294" i="1"/>
  <c r="S2293" i="1"/>
  <c r="Q2293" i="1"/>
  <c r="E2293" i="1"/>
  <c r="S2292" i="1"/>
  <c r="Q2292" i="1"/>
  <c r="E2292" i="1"/>
  <c r="D2292" i="1" s="1"/>
  <c r="S2291" i="1"/>
  <c r="Q2291" i="1"/>
  <c r="E2291" i="1"/>
  <c r="S2289" i="1"/>
  <c r="Q2289" i="1"/>
  <c r="E2289" i="1"/>
  <c r="S2284" i="1"/>
  <c r="Q2284" i="1"/>
  <c r="E2284" i="1"/>
  <c r="S2283" i="1"/>
  <c r="Q2283" i="1"/>
  <c r="E2283" i="1"/>
  <c r="D2283" i="1" s="1"/>
  <c r="S2282" i="1"/>
  <c r="Q2282" i="1"/>
  <c r="E2282" i="1"/>
  <c r="S2281" i="1"/>
  <c r="Q2281" i="1"/>
  <c r="E2281" i="1"/>
  <c r="E2279" i="1"/>
  <c r="D2279" i="1" s="1"/>
  <c r="S2278" i="1"/>
  <c r="Q2278" i="1"/>
  <c r="E2278" i="1"/>
  <c r="S2277" i="1"/>
  <c r="Q2277" i="1"/>
  <c r="E2277" i="1"/>
  <c r="E2276" i="1"/>
  <c r="D2276" i="1" s="1"/>
  <c r="E2274" i="1"/>
  <c r="D2274" i="1" s="1"/>
  <c r="E2273" i="1"/>
  <c r="D2273" i="1" s="1"/>
  <c r="E2272" i="1"/>
  <c r="D2272" i="1" s="1"/>
  <c r="E2271" i="1"/>
  <c r="D2271" i="1" s="1"/>
  <c r="E2270" i="1"/>
  <c r="D2270" i="1" s="1"/>
  <c r="S2269" i="1"/>
  <c r="Q2269" i="1"/>
  <c r="E2269" i="1"/>
  <c r="S2268" i="1"/>
  <c r="Q2268" i="1"/>
  <c r="E2268" i="1"/>
  <c r="S2265" i="1"/>
  <c r="Q2265" i="1"/>
  <c r="E2265" i="1"/>
  <c r="D2265" i="1" s="1"/>
  <c r="S2266" i="1"/>
  <c r="Q2266" i="1"/>
  <c r="E2266" i="1"/>
  <c r="S2264" i="1"/>
  <c r="Q2264" i="1"/>
  <c r="E2264" i="1"/>
  <c r="S2261" i="1"/>
  <c r="Q2261" i="1"/>
  <c r="E2261" i="1"/>
  <c r="E2253" i="1"/>
  <c r="D2253" i="1" s="1"/>
  <c r="E2250" i="1"/>
  <c r="D2250" i="1" s="1"/>
  <c r="E2249" i="1"/>
  <c r="D2249" i="1" s="1"/>
  <c r="E2248" i="1"/>
  <c r="D2248" i="1" s="1"/>
  <c r="E2247" i="1"/>
  <c r="D2247" i="1" s="1"/>
  <c r="E2246" i="1"/>
  <c r="D2246" i="1" s="1"/>
  <c r="S2243" i="1"/>
  <c r="Q2243" i="1"/>
  <c r="E2243" i="1"/>
  <c r="E2241" i="1"/>
  <c r="D2241" i="1" s="1"/>
  <c r="E2240" i="1"/>
  <c r="D2240" i="1" s="1"/>
  <c r="E2239" i="1"/>
  <c r="D2239" i="1" s="1"/>
  <c r="E2238" i="1"/>
  <c r="D2238" i="1" s="1"/>
  <c r="E2237" i="1"/>
  <c r="D2237" i="1" s="1"/>
  <c r="S2235" i="1"/>
  <c r="Q2235" i="1"/>
  <c r="E2235" i="1"/>
  <c r="S2234" i="1"/>
  <c r="Q2234" i="1"/>
  <c r="E2234" i="1"/>
  <c r="S2233" i="1"/>
  <c r="Q2233" i="1"/>
  <c r="E2233" i="1"/>
  <c r="D2233" i="1" s="1"/>
  <c r="S2232" i="1"/>
  <c r="Q2232" i="1"/>
  <c r="E2232" i="1"/>
  <c r="S2231" i="1"/>
  <c r="Q2231" i="1"/>
  <c r="E2231" i="1"/>
  <c r="E2228" i="1"/>
  <c r="D2228" i="1" s="1"/>
  <c r="S2227" i="1"/>
  <c r="Q2227" i="1"/>
  <c r="E2227" i="1"/>
  <c r="E2226" i="1"/>
  <c r="D2226" i="1" s="1"/>
  <c r="S2224" i="1"/>
  <c r="Q2224" i="1"/>
  <c r="E2224" i="1"/>
  <c r="E2223" i="1"/>
  <c r="D2223" i="1" s="1"/>
  <c r="E2222" i="1"/>
  <c r="D2222" i="1" s="1"/>
  <c r="S2221" i="1"/>
  <c r="Q2221" i="1"/>
  <c r="E2221" i="1"/>
  <c r="S2219" i="1"/>
  <c r="Q2219" i="1"/>
  <c r="E2219" i="1"/>
  <c r="S2216" i="1"/>
  <c r="Q2216" i="1"/>
  <c r="E2216" i="1"/>
  <c r="E2214" i="1"/>
  <c r="D2214" i="1" s="1"/>
  <c r="Q2213" i="1"/>
  <c r="E2213" i="1"/>
  <c r="D2213" i="1" s="1"/>
  <c r="E2212" i="1"/>
  <c r="D2212" i="1" s="1"/>
  <c r="E2211" i="1"/>
  <c r="D2211" i="1" s="1"/>
  <c r="E2210" i="1"/>
  <c r="D2210" i="1" s="1"/>
  <c r="E2208" i="1"/>
  <c r="D2208" i="1" s="1"/>
  <c r="S2207" i="1"/>
  <c r="Q2207" i="1"/>
  <c r="E2207" i="1"/>
  <c r="E2206" i="1"/>
  <c r="D2206" i="1" s="1"/>
  <c r="E2205" i="1"/>
  <c r="D2205" i="1" s="1"/>
  <c r="S2204" i="1"/>
  <c r="Q2204" i="1"/>
  <c r="E2204" i="1"/>
  <c r="D2204" i="1" s="1"/>
  <c r="S2203" i="1"/>
  <c r="Q2203" i="1"/>
  <c r="E2203" i="1"/>
  <c r="E2201" i="1"/>
  <c r="D2201" i="1" s="1"/>
  <c r="E2200" i="1"/>
  <c r="D2200" i="1" s="1"/>
  <c r="E2198" i="1"/>
  <c r="D2198" i="1" s="1"/>
  <c r="E2197" i="1"/>
  <c r="D2197" i="1" s="1"/>
  <c r="E2196" i="1"/>
  <c r="D2196" i="1" s="1"/>
  <c r="S2195" i="1"/>
  <c r="Q2195" i="1"/>
  <c r="E2195" i="1"/>
  <c r="S2193" i="1"/>
  <c r="Q2193" i="1"/>
  <c r="E2193" i="1"/>
  <c r="S2192" i="1"/>
  <c r="Q2192" i="1"/>
  <c r="E2192" i="1"/>
  <c r="S2194" i="1"/>
  <c r="Q2194" i="1"/>
  <c r="E2194" i="1"/>
  <c r="D2194" i="1" s="1"/>
  <c r="S2189" i="1"/>
  <c r="Q2189" i="1"/>
  <c r="E2189" i="1"/>
  <c r="S2187" i="1"/>
  <c r="Q2187" i="1"/>
  <c r="E2187" i="1"/>
  <c r="E2183" i="1"/>
  <c r="D2183" i="1" s="1"/>
  <c r="E2182" i="1"/>
  <c r="D2182" i="1" s="1"/>
  <c r="E2186" i="1"/>
  <c r="D2186" i="1" s="1"/>
  <c r="Q2185" i="1"/>
  <c r="E2185" i="1"/>
  <c r="S2184" i="1"/>
  <c r="Q2184" i="1"/>
  <c r="E2184" i="1"/>
  <c r="S2181" i="1"/>
  <c r="Q2181" i="1"/>
  <c r="E2181" i="1"/>
  <c r="S2180" i="1"/>
  <c r="Q2180" i="1"/>
  <c r="E2180" i="1"/>
  <c r="S2179" i="1"/>
  <c r="Q2179" i="1"/>
  <c r="E2179" i="1"/>
  <c r="S2178" i="1"/>
  <c r="Q2178" i="1"/>
  <c r="E2178" i="1"/>
  <c r="Q2177" i="1"/>
  <c r="E2177" i="1"/>
  <c r="D2177" i="1" s="1"/>
  <c r="S2171" i="1"/>
  <c r="Q2171" i="1"/>
  <c r="E2171" i="1"/>
  <c r="E2168" i="1"/>
  <c r="D2168" i="1" s="1"/>
  <c r="E2167" i="1"/>
  <c r="D2167" i="1" s="1"/>
  <c r="E2165" i="1"/>
  <c r="D2165" i="1" s="1"/>
  <c r="Q2164" i="1"/>
  <c r="E2164" i="1"/>
  <c r="D2164" i="1" s="1"/>
  <c r="E2163" i="1"/>
  <c r="D2163" i="1" s="1"/>
  <c r="E2162" i="1"/>
  <c r="D2162" i="1" s="1"/>
  <c r="E2160" i="1"/>
  <c r="D2160" i="1" s="1"/>
  <c r="E2158" i="1"/>
  <c r="D2158" i="1" s="1"/>
  <c r="E2157" i="1"/>
  <c r="D2157" i="1" s="1"/>
  <c r="E2159" i="1"/>
  <c r="D2159" i="1" s="1"/>
  <c r="E2156" i="1"/>
  <c r="D2156" i="1" s="1"/>
  <c r="S2155" i="1"/>
  <c r="Q2155" i="1"/>
  <c r="E2155" i="1"/>
  <c r="S2154" i="1"/>
  <c r="Q2154" i="1"/>
  <c r="E2154" i="1"/>
  <c r="S2153" i="1"/>
  <c r="Q2153" i="1"/>
  <c r="E2153" i="1"/>
  <c r="D2153" i="1" s="1"/>
  <c r="S2152" i="1"/>
  <c r="Q2152" i="1"/>
  <c r="E2152" i="1"/>
  <c r="S2151" i="1"/>
  <c r="Q2151" i="1"/>
  <c r="E2151" i="1"/>
  <c r="S2150" i="1"/>
  <c r="Q2150" i="1"/>
  <c r="E2150" i="1"/>
  <c r="S2149" i="1"/>
  <c r="Q2149" i="1"/>
  <c r="E2149" i="1"/>
  <c r="D2149" i="1" s="1"/>
  <c r="S2147" i="1"/>
  <c r="S2146" i="1" s="1"/>
  <c r="Q2147" i="1"/>
  <c r="Q2146" i="1" s="1"/>
  <c r="E2147" i="1"/>
  <c r="E2144" i="1"/>
  <c r="D2144" i="1" s="1"/>
  <c r="E2143" i="1"/>
  <c r="D2143" i="1" s="1"/>
  <c r="S2142" i="1"/>
  <c r="Q2142" i="1"/>
  <c r="E2142" i="1"/>
  <c r="D2142" i="1" s="1"/>
  <c r="E2140" i="1"/>
  <c r="D2140" i="1" s="1"/>
  <c r="S2137" i="1"/>
  <c r="Q2137" i="1"/>
  <c r="E2137" i="1"/>
  <c r="D2137" i="1" s="1"/>
  <c r="S2136" i="1"/>
  <c r="Q2136" i="1"/>
  <c r="E2136" i="1"/>
  <c r="S2134" i="1"/>
  <c r="Q2134" i="1"/>
  <c r="E2134" i="1"/>
  <c r="S2132" i="1"/>
  <c r="Q2132" i="1"/>
  <c r="E2132" i="1"/>
  <c r="S2131" i="1"/>
  <c r="Q2131" i="1"/>
  <c r="E2131" i="1"/>
  <c r="D2131" i="1" s="1"/>
  <c r="S2130" i="1"/>
  <c r="Q2130" i="1"/>
  <c r="E2130" i="1"/>
  <c r="E2128" i="1"/>
  <c r="D2128" i="1" s="1"/>
  <c r="S2127" i="1"/>
  <c r="Q2127" i="1"/>
  <c r="E2127" i="1"/>
  <c r="S2126" i="1"/>
  <c r="Q2126" i="1"/>
  <c r="E2126" i="1"/>
  <c r="S2125" i="1"/>
  <c r="Q2125" i="1"/>
  <c r="E2125" i="1"/>
  <c r="Q2124" i="1"/>
  <c r="E2124" i="1"/>
  <c r="S2123" i="1"/>
  <c r="Q2123" i="1"/>
  <c r="E2123" i="1"/>
  <c r="S2122" i="1"/>
  <c r="Q2122" i="1"/>
  <c r="E2122" i="1"/>
  <c r="S2121" i="1"/>
  <c r="Q2121" i="1"/>
  <c r="E2121" i="1"/>
  <c r="D2121" i="1" s="1"/>
  <c r="S2120" i="1"/>
  <c r="Q2120" i="1"/>
  <c r="E2120" i="1"/>
  <c r="S2119" i="1"/>
  <c r="Q2119" i="1"/>
  <c r="E2119" i="1"/>
  <c r="S2118" i="1"/>
  <c r="Q2118" i="1"/>
  <c r="E2118" i="1"/>
  <c r="S2115" i="1"/>
  <c r="Q2115" i="1"/>
  <c r="E2115" i="1"/>
  <c r="D2115" i="1" s="1"/>
  <c r="S2114" i="1"/>
  <c r="Q2114" i="1"/>
  <c r="E2114" i="1"/>
  <c r="S2111" i="1"/>
  <c r="Q2111" i="1"/>
  <c r="E2111" i="1"/>
  <c r="E2106" i="1"/>
  <c r="D2106" i="1" s="1"/>
  <c r="S2104" i="1"/>
  <c r="Q2104" i="1"/>
  <c r="E2104" i="1"/>
  <c r="S2103" i="1"/>
  <c r="Q2103" i="1"/>
  <c r="E2103" i="1"/>
  <c r="E2102" i="1"/>
  <c r="D2102" i="1" s="1"/>
  <c r="S2101" i="1"/>
  <c r="Q2101" i="1"/>
  <c r="E2101" i="1"/>
  <c r="E2100" i="1"/>
  <c r="D2100" i="1" s="1"/>
  <c r="S2099" i="1"/>
  <c r="Q2099" i="1"/>
  <c r="E2099" i="1"/>
  <c r="S2098" i="1"/>
  <c r="Q2098" i="1"/>
  <c r="E2098" i="1"/>
  <c r="D2098" i="1" s="1"/>
  <c r="Q2061" i="1"/>
  <c r="E2061" i="1"/>
  <c r="S2056" i="1"/>
  <c r="Q2056" i="1"/>
  <c r="E2056" i="1"/>
  <c r="S2057" i="1"/>
  <c r="Q2057" i="1"/>
  <c r="E2057" i="1"/>
  <c r="D2057" i="1" s="1"/>
  <c r="O1518" i="1"/>
  <c r="O1517" i="1"/>
  <c r="O1515" i="1"/>
  <c r="O1516" i="1"/>
  <c r="O1514" i="1"/>
  <c r="S1513" i="1"/>
  <c r="S1512" i="1"/>
  <c r="O1512" i="1"/>
  <c r="S1510" i="1"/>
  <c r="O1510" i="1"/>
  <c r="O1508" i="1"/>
  <c r="O1507" i="1"/>
  <c r="S1506" i="1"/>
  <c r="O1506" i="1"/>
  <c r="O1505" i="1"/>
  <c r="S1505" i="1"/>
  <c r="O1499" i="1"/>
  <c r="O1500" i="1"/>
  <c r="O1498" i="1"/>
  <c r="O1497" i="1"/>
  <c r="O1493" i="1"/>
  <c r="O1492" i="1"/>
  <c r="O1491" i="1"/>
  <c r="O1488" i="1"/>
  <c r="O1487" i="1"/>
  <c r="O1489" i="1"/>
  <c r="O1485" i="1"/>
  <c r="O1484" i="1"/>
  <c r="S1500" i="1"/>
  <c r="S1486" i="1"/>
  <c r="S1487" i="1"/>
  <c r="S1488" i="1"/>
  <c r="S1490" i="1"/>
  <c r="S1491" i="1"/>
  <c r="S1492" i="1"/>
  <c r="S1493" i="1"/>
  <c r="S1497" i="1"/>
  <c r="S1489" i="1"/>
  <c r="S1485" i="1"/>
  <c r="S1484" i="1"/>
  <c r="O1482" i="1"/>
  <c r="O1480" i="1"/>
  <c r="S1479" i="1"/>
  <c r="O1479" i="1"/>
  <c r="O1478" i="1"/>
  <c r="O1477" i="1"/>
  <c r="S1473" i="1"/>
  <c r="Q1473" i="1"/>
  <c r="O1474" i="1"/>
  <c r="O1473" i="1"/>
  <c r="O1472" i="1"/>
  <c r="O1471" i="1"/>
  <c r="S2054" i="1"/>
  <c r="S2053" i="1" s="1"/>
  <c r="Q2054" i="1"/>
  <c r="Q2053" i="1" s="1"/>
  <c r="E2054" i="1"/>
  <c r="S2052" i="1"/>
  <c r="Q2052" i="1"/>
  <c r="E2052" i="1"/>
  <c r="Q2051" i="1"/>
  <c r="E2051" i="1"/>
  <c r="D2051" i="1" s="1"/>
  <c r="E2050" i="1"/>
  <c r="D2050" i="1" s="1"/>
  <c r="E2049" i="1"/>
  <c r="D2049" i="1" s="1"/>
  <c r="E2048" i="1"/>
  <c r="D2048" i="1" s="1"/>
  <c r="S2046" i="1"/>
  <c r="E2046" i="1"/>
  <c r="Q2044" i="1"/>
  <c r="E2044" i="1"/>
  <c r="Q2043" i="1"/>
  <c r="E2043" i="1"/>
  <c r="E2042" i="1"/>
  <c r="D2042" i="1" s="1"/>
  <c r="Q2040" i="1"/>
  <c r="E2040" i="1"/>
  <c r="D2040" i="1" s="1"/>
  <c r="E2038" i="1"/>
  <c r="D2038" i="1" s="1"/>
  <c r="E2036" i="1"/>
  <c r="D2036" i="1" s="1"/>
  <c r="E2035" i="1"/>
  <c r="D2035" i="1" s="1"/>
  <c r="E2034" i="1"/>
  <c r="D2034" i="1" s="1"/>
  <c r="E2033" i="1"/>
  <c r="D2033" i="1" s="1"/>
  <c r="S2031" i="1"/>
  <c r="Q2031" i="1"/>
  <c r="E2031" i="1"/>
  <c r="D2031" i="1" s="1"/>
  <c r="S2030" i="1"/>
  <c r="Q2030" i="1"/>
  <c r="E2030" i="1"/>
  <c r="S2029" i="1"/>
  <c r="Q2029" i="1"/>
  <c r="E2029" i="1"/>
  <c r="E2028" i="1"/>
  <c r="D2028" i="1" s="1"/>
  <c r="S2027" i="1"/>
  <c r="Q2027" i="1"/>
  <c r="E2027" i="1"/>
  <c r="Q2026" i="1"/>
  <c r="E2026" i="1"/>
  <c r="D2026" i="1" s="1"/>
  <c r="Q2025" i="1"/>
  <c r="E2025" i="1"/>
  <c r="S2024" i="1"/>
  <c r="Q2024" i="1"/>
  <c r="E2024" i="1"/>
  <c r="S2023" i="1"/>
  <c r="Q2023" i="1"/>
  <c r="E2023" i="1"/>
  <c r="D2023" i="1" s="1"/>
  <c r="S2022" i="1"/>
  <c r="Q2022" i="1"/>
  <c r="E2022" i="1"/>
  <c r="S2020" i="1"/>
  <c r="Q2020" i="1"/>
  <c r="E2020" i="1"/>
  <c r="S2019" i="1"/>
  <c r="Q2019" i="1"/>
  <c r="E2019" i="1"/>
  <c r="S2018" i="1"/>
  <c r="Q2018" i="1"/>
  <c r="E2018" i="1"/>
  <c r="D2018" i="1" s="1"/>
  <c r="S2016" i="1"/>
  <c r="Q2016" i="1"/>
  <c r="E2016" i="1"/>
  <c r="S2015" i="1"/>
  <c r="Q2015" i="1"/>
  <c r="E2015" i="1"/>
  <c r="Q2014" i="1"/>
  <c r="E2014" i="1"/>
  <c r="D2014" i="1" s="1"/>
  <c r="S2012" i="1"/>
  <c r="Q2012" i="1"/>
  <c r="E2012" i="1"/>
  <c r="S2011" i="1"/>
  <c r="Q2011" i="1"/>
  <c r="E2011" i="1"/>
  <c r="S2010" i="1"/>
  <c r="Q2010" i="1"/>
  <c r="E2010" i="1"/>
  <c r="S2008" i="1"/>
  <c r="Q2008" i="1"/>
  <c r="E2008" i="1"/>
  <c r="D2008" i="1" s="1"/>
  <c r="S2007" i="1"/>
  <c r="Q2007" i="1"/>
  <c r="E2007" i="1"/>
  <c r="S2006" i="1"/>
  <c r="Q2006" i="1"/>
  <c r="E2006" i="1"/>
  <c r="S2005" i="1"/>
  <c r="Q2005" i="1"/>
  <c r="E2005" i="1"/>
  <c r="S1998" i="1"/>
  <c r="S1997" i="1"/>
  <c r="S1996" i="1"/>
  <c r="S1995" i="1"/>
  <c r="S1994" i="1"/>
  <c r="S1990" i="1"/>
  <c r="S1989" i="1"/>
  <c r="S1991" i="1"/>
  <c r="S1988" i="1"/>
  <c r="S1986" i="1"/>
  <c r="S1983" i="1"/>
  <c r="S1982" i="1"/>
  <c r="S1979" i="1"/>
  <c r="S1977" i="1"/>
  <c r="S1975" i="1"/>
  <c r="S1974" i="1"/>
  <c r="S1973" i="1"/>
  <c r="S1972" i="1"/>
  <c r="S1965" i="1"/>
  <c r="S1964" i="1"/>
  <c r="S1971" i="1"/>
  <c r="S1970" i="1"/>
  <c r="S1968" i="1"/>
  <c r="S1967" i="1"/>
  <c r="S1963" i="1"/>
  <c r="S1962" i="1"/>
  <c r="S1966" i="1"/>
  <c r="S1960" i="1"/>
  <c r="S1240" i="1"/>
  <c r="S1959" i="1"/>
  <c r="S1954" i="1"/>
  <c r="S1953" i="1"/>
  <c r="S1950" i="1"/>
  <c r="S1949" i="1"/>
  <c r="S1947" i="1"/>
  <c r="S1927" i="1"/>
  <c r="S1903" i="1"/>
  <c r="Q1998" i="1"/>
  <c r="Q1997" i="1"/>
  <c r="Q1996" i="1"/>
  <c r="Q1995" i="1"/>
  <c r="Q1994" i="1"/>
  <c r="Q1990" i="1"/>
  <c r="Q1989" i="1"/>
  <c r="Q1991" i="1"/>
  <c r="Q1988" i="1"/>
  <c r="Q1986" i="1"/>
  <c r="Q1983" i="1"/>
  <c r="Q1982" i="1"/>
  <c r="Q1979" i="1"/>
  <c r="Q1977" i="1"/>
  <c r="Q1975" i="1"/>
  <c r="Q1974" i="1"/>
  <c r="Q1973" i="1"/>
  <c r="Q1972" i="1"/>
  <c r="Q1965" i="1"/>
  <c r="Q1964" i="1"/>
  <c r="Q1971" i="1"/>
  <c r="Q1970" i="1"/>
  <c r="Q1968" i="1"/>
  <c r="Q1967" i="1"/>
  <c r="Q1963" i="1"/>
  <c r="Q1962" i="1"/>
  <c r="Q1966" i="1"/>
  <c r="Q1960" i="1"/>
  <c r="Q1240" i="1"/>
  <c r="Q1959" i="1"/>
  <c r="Q1954" i="1"/>
  <c r="Q1953" i="1"/>
  <c r="Q1950" i="1"/>
  <c r="Q1949" i="1"/>
  <c r="Q1947" i="1"/>
  <c r="Q1927" i="1"/>
  <c r="Q1903" i="1"/>
  <c r="E1998" i="1"/>
  <c r="D1998" i="1" s="1"/>
  <c r="E1997" i="1"/>
  <c r="E1996" i="1"/>
  <c r="E1995" i="1"/>
  <c r="E1994" i="1"/>
  <c r="D1994" i="1" s="1"/>
  <c r="E1990" i="1"/>
  <c r="E1989" i="1"/>
  <c r="E1991" i="1"/>
  <c r="E1988" i="1"/>
  <c r="D1988" i="1" s="1"/>
  <c r="E1986" i="1"/>
  <c r="E1985" i="1"/>
  <c r="D1985" i="1" s="1"/>
  <c r="E1984" i="1"/>
  <c r="D1984" i="1" s="1"/>
  <c r="E1983" i="1"/>
  <c r="D1983" i="1" s="1"/>
  <c r="E1982" i="1"/>
  <c r="D1982" i="1" s="1"/>
  <c r="E1979" i="1"/>
  <c r="E1977" i="1"/>
  <c r="E1975" i="1"/>
  <c r="D1975" i="1" s="1"/>
  <c r="E1974" i="1"/>
  <c r="E1973" i="1"/>
  <c r="E1972" i="1"/>
  <c r="E1965" i="1"/>
  <c r="E1964" i="1"/>
  <c r="E1971" i="1"/>
  <c r="E1970" i="1"/>
  <c r="E1968" i="1"/>
  <c r="D1968" i="1" s="1"/>
  <c r="E1967" i="1"/>
  <c r="D1967" i="1" s="1"/>
  <c r="E1963" i="1"/>
  <c r="E1962" i="1"/>
  <c r="E1966" i="1"/>
  <c r="D1966" i="1" s="1"/>
  <c r="E1960" i="1"/>
  <c r="E1240" i="1"/>
  <c r="E1959" i="1"/>
  <c r="E1954" i="1"/>
  <c r="E1953" i="1"/>
  <c r="D1953" i="1" s="1"/>
  <c r="E1950" i="1"/>
  <c r="E1949" i="1"/>
  <c r="E1947" i="1"/>
  <c r="D1947" i="1" s="1"/>
  <c r="E1946" i="1"/>
  <c r="D1946" i="1" s="1"/>
  <c r="E1945" i="1"/>
  <c r="D1945" i="1" s="1"/>
  <c r="E1943" i="1"/>
  <c r="D1943" i="1" s="1"/>
  <c r="E1940" i="1"/>
  <c r="D1940" i="1" s="1"/>
  <c r="E1935" i="1"/>
  <c r="D1935" i="1" s="1"/>
  <c r="E1934" i="1"/>
  <c r="D1934" i="1" s="1"/>
  <c r="E1939" i="1"/>
  <c r="D1939" i="1" s="1"/>
  <c r="E1938" i="1"/>
  <c r="D1938" i="1" s="1"/>
  <c r="E1937" i="1"/>
  <c r="D1937" i="1" s="1"/>
  <c r="E1936" i="1"/>
  <c r="D1936" i="1" s="1"/>
  <c r="E1931" i="1"/>
  <c r="D1931" i="1" s="1"/>
  <c r="E1930" i="1"/>
  <c r="D1930" i="1" s="1"/>
  <c r="E1929" i="1"/>
  <c r="D1929" i="1" s="1"/>
  <c r="E1927" i="1"/>
  <c r="E1924" i="1"/>
  <c r="D1924" i="1" s="1"/>
  <c r="E1923" i="1"/>
  <c r="D1923" i="1" s="1"/>
  <c r="E1922" i="1"/>
  <c r="D1922" i="1" s="1"/>
  <c r="E1921" i="1"/>
  <c r="D1921" i="1" s="1"/>
  <c r="E1917" i="1"/>
  <c r="D1917" i="1" s="1"/>
  <c r="E1916" i="1"/>
  <c r="D1916" i="1" s="1"/>
  <c r="E1918" i="1"/>
  <c r="D1918" i="1" s="1"/>
  <c r="E1914" i="1"/>
  <c r="D1914" i="1" s="1"/>
  <c r="E1913" i="1"/>
  <c r="D1913" i="1" s="1"/>
  <c r="E1912" i="1"/>
  <c r="D1912" i="1" s="1"/>
  <c r="E1911" i="1"/>
  <c r="D1911" i="1" s="1"/>
  <c r="E1910" i="1"/>
  <c r="D1910" i="1" s="1"/>
  <c r="E1909" i="1"/>
  <c r="D1909" i="1" s="1"/>
  <c r="E1908" i="1"/>
  <c r="D1908" i="1" s="1"/>
  <c r="E1907" i="1"/>
  <c r="D1907" i="1" s="1"/>
  <c r="E1906" i="1"/>
  <c r="D1906" i="1" s="1"/>
  <c r="E1905" i="1"/>
  <c r="D1905" i="1" s="1"/>
  <c r="S1898" i="1"/>
  <c r="S1894" i="1"/>
  <c r="S1893" i="1"/>
  <c r="S1892" i="1"/>
  <c r="Q1892" i="1"/>
  <c r="D1892" i="1" s="1"/>
  <c r="Q1893" i="1"/>
  <c r="Q1894" i="1"/>
  <c r="Q1898" i="1"/>
  <c r="E1893" i="1"/>
  <c r="D1893" i="1" s="1"/>
  <c r="E1894" i="1"/>
  <c r="E1895" i="1"/>
  <c r="D1895" i="1" s="1"/>
  <c r="E1896" i="1"/>
  <c r="D1896" i="1" s="1"/>
  <c r="E1897" i="1"/>
  <c r="D1897" i="1" s="1"/>
  <c r="E1900" i="1"/>
  <c r="D1900" i="1" s="1"/>
  <c r="E1901" i="1"/>
  <c r="D1901" i="1" s="1"/>
  <c r="D1903" i="1" l="1"/>
  <c r="D2185" i="1"/>
  <c r="D1964" i="1"/>
  <c r="D1963" i="1"/>
  <c r="D1979" i="1"/>
  <c r="D1950" i="1"/>
  <c r="D1971" i="1"/>
  <c r="D1965" i="1"/>
  <c r="D2180" i="1"/>
  <c r="D1954" i="1"/>
  <c r="D1973" i="1"/>
  <c r="D1240" i="1"/>
  <c r="D1894" i="1"/>
  <c r="D1960" i="1"/>
  <c r="D1974" i="1"/>
  <c r="D1898" i="1"/>
  <c r="D1949" i="1"/>
  <c r="D1959" i="1"/>
  <c r="D1962" i="1"/>
  <c r="D1970" i="1"/>
  <c r="D1972" i="1"/>
  <c r="D1977" i="1"/>
  <c r="D1991" i="1"/>
  <c r="D1995" i="1"/>
  <c r="D2007" i="1"/>
  <c r="D2012" i="1"/>
  <c r="D2016" i="1"/>
  <c r="D2022" i="1"/>
  <c r="D2030" i="1"/>
  <c r="D2044" i="1"/>
  <c r="E2053" i="1"/>
  <c r="D2054" i="1"/>
  <c r="D2114" i="1"/>
  <c r="D2120" i="1"/>
  <c r="D2124" i="1"/>
  <c r="D2127" i="1"/>
  <c r="D2130" i="1"/>
  <c r="D2136" i="1"/>
  <c r="D2147" i="1"/>
  <c r="D2146" i="1" s="1"/>
  <c r="D2152" i="1"/>
  <c r="D2171" i="1"/>
  <c r="D2179" i="1"/>
  <c r="D2189" i="1"/>
  <c r="D2195" i="1"/>
  <c r="D2203" i="1"/>
  <c r="D2207" i="1"/>
  <c r="D2221" i="1"/>
  <c r="D2232" i="1"/>
  <c r="D2266" i="1"/>
  <c r="D2282" i="1"/>
  <c r="D2291" i="1"/>
  <c r="D2295" i="1"/>
  <c r="D2316" i="1"/>
  <c r="D2323" i="1"/>
  <c r="D2389" i="1"/>
  <c r="D2534" i="1"/>
  <c r="D2598" i="1"/>
  <c r="D2617" i="1"/>
  <c r="D2691" i="1"/>
  <c r="D2703" i="1"/>
  <c r="D2711" i="1"/>
  <c r="D2730" i="1"/>
  <c r="D1881" i="1"/>
  <c r="D1927" i="1"/>
  <c r="D1989" i="1"/>
  <c r="D1996" i="1"/>
  <c r="D2006" i="1"/>
  <c r="D2011" i="1"/>
  <c r="D2015" i="1"/>
  <c r="D2020" i="1"/>
  <c r="D2025" i="1"/>
  <c r="D2027" i="1"/>
  <c r="D2029" i="1"/>
  <c r="D2052" i="1"/>
  <c r="D2061" i="1"/>
  <c r="D2104" i="1"/>
  <c r="D2111" i="1"/>
  <c r="D2119" i="1"/>
  <c r="D2123" i="1"/>
  <c r="D2126" i="1"/>
  <c r="D2134" i="1"/>
  <c r="D2151" i="1"/>
  <c r="D2155" i="1"/>
  <c r="D2178" i="1"/>
  <c r="D2184" i="1"/>
  <c r="D2187" i="1"/>
  <c r="D2193" i="1"/>
  <c r="D2219" i="1"/>
  <c r="D2224" i="1"/>
  <c r="D2227" i="1"/>
  <c r="D2231" i="1"/>
  <c r="D2235" i="1"/>
  <c r="D2243" i="1"/>
  <c r="D2264" i="1"/>
  <c r="D2269" i="1"/>
  <c r="D2278" i="1"/>
  <c r="D2281" i="1"/>
  <c r="D2289" i="1"/>
  <c r="D2294" i="1"/>
  <c r="D2299" i="1"/>
  <c r="D2306" i="1"/>
  <c r="D2322" i="1"/>
  <c r="D2341" i="1"/>
  <c r="D2378" i="1"/>
  <c r="D2381" i="1"/>
  <c r="D2459" i="1"/>
  <c r="D2501" i="1"/>
  <c r="D2529" i="1"/>
  <c r="D2537" i="1"/>
  <c r="D2543" i="1"/>
  <c r="D2571" i="1"/>
  <c r="D2580" i="1"/>
  <c r="D2585" i="1"/>
  <c r="D2633" i="1"/>
  <c r="D2669" i="1"/>
  <c r="D2668" i="1" s="1"/>
  <c r="D2709" i="1"/>
  <c r="D2714" i="1"/>
  <c r="D2726" i="1"/>
  <c r="D2746" i="1"/>
  <c r="D2752" i="1"/>
  <c r="D1986" i="1"/>
  <c r="D1990" i="1"/>
  <c r="D1997" i="1"/>
  <c r="D2005" i="1"/>
  <c r="D2010" i="1"/>
  <c r="D2019" i="1"/>
  <c r="D2024" i="1"/>
  <c r="D2043" i="1"/>
  <c r="D2046" i="1"/>
  <c r="D2056" i="1"/>
  <c r="D2099" i="1"/>
  <c r="D2101" i="1"/>
  <c r="D2103" i="1"/>
  <c r="D2118" i="1"/>
  <c r="D2122" i="1"/>
  <c r="D2125" i="1"/>
  <c r="D2132" i="1"/>
  <c r="D2150" i="1"/>
  <c r="D2154" i="1"/>
  <c r="D2181" i="1"/>
  <c r="D2192" i="1"/>
  <c r="D2216" i="1"/>
  <c r="D2234" i="1"/>
  <c r="D2261" i="1"/>
  <c r="D2268" i="1"/>
  <c r="D2277" i="1"/>
  <c r="D2284" i="1"/>
  <c r="D2293" i="1"/>
  <c r="D2298" i="1"/>
  <c r="D2321" i="1"/>
  <c r="D2335" i="1"/>
  <c r="D2414" i="1"/>
  <c r="D2514" i="1"/>
  <c r="D2536" i="1"/>
  <c r="D2589" i="1"/>
  <c r="D2599" i="1"/>
  <c r="D2615" i="1"/>
  <c r="D2619" i="1"/>
  <c r="D2696" i="1"/>
  <c r="D2707" i="1"/>
  <c r="D2704" i="1" s="1"/>
  <c r="D2718" i="1"/>
  <c r="D2729" i="1"/>
  <c r="D2757" i="1"/>
  <c r="S1891" i="1"/>
  <c r="Q2097" i="1"/>
  <c r="S2055" i="1"/>
  <c r="S2097" i="1"/>
  <c r="E1891" i="1"/>
  <c r="O1470" i="1"/>
  <c r="E2097" i="1"/>
  <c r="Q1891" i="1"/>
  <c r="Q1902" i="1"/>
  <c r="S1902" i="1"/>
  <c r="E2002" i="1"/>
  <c r="E2055" i="1"/>
  <c r="Q2002" i="1"/>
  <c r="Q2055" i="1"/>
  <c r="S2002" i="1"/>
  <c r="E2113" i="1"/>
  <c r="Q2113" i="1"/>
  <c r="E1902" i="1"/>
  <c r="S2113" i="1"/>
  <c r="E2315" i="1"/>
  <c r="Q2315" i="1"/>
  <c r="S2315" i="1"/>
  <c r="E2242" i="1"/>
  <c r="Q2242" i="1"/>
  <c r="S2242" i="1"/>
  <c r="Q2704" i="1"/>
  <c r="S2148" i="1"/>
  <c r="S2704" i="1"/>
  <c r="Q2188" i="1"/>
  <c r="Q2129" i="1"/>
  <c r="Q2169" i="1"/>
  <c r="E2148" i="1"/>
  <c r="S2285" i="1"/>
  <c r="Q2148" i="1"/>
  <c r="E2188" i="1"/>
  <c r="S2188" i="1"/>
  <c r="E2704" i="1"/>
  <c r="E2713" i="1"/>
  <c r="D2199" i="1"/>
  <c r="E2199" i="1"/>
  <c r="Q2713" i="1"/>
  <c r="E2699" i="1"/>
  <c r="S2713" i="1"/>
  <c r="E2129" i="1"/>
  <c r="E2146" i="1"/>
  <c r="E2169" i="1"/>
  <c r="E2616" i="1"/>
  <c r="E2690" i="1"/>
  <c r="Q2699" i="1"/>
  <c r="E2285" i="1"/>
  <c r="Q2616" i="1"/>
  <c r="E2668" i="1"/>
  <c r="Q2690" i="1"/>
  <c r="S2699" i="1"/>
  <c r="E2708" i="1"/>
  <c r="S2129" i="1"/>
  <c r="S2169" i="1"/>
  <c r="Q2285" i="1"/>
  <c r="S2616" i="1"/>
  <c r="S2690" i="1"/>
  <c r="Q2708" i="1"/>
  <c r="D2053" i="1"/>
  <c r="D2315" i="1" l="1"/>
  <c r="D2708" i="1"/>
  <c r="D2699" i="1"/>
  <c r="D2129" i="1"/>
  <c r="D2002" i="1"/>
  <c r="D2690" i="1"/>
  <c r="D2148" i="1"/>
  <c r="D2616" i="1"/>
  <c r="D2113" i="1"/>
  <c r="D2242" i="1"/>
  <c r="D2713" i="1"/>
  <c r="D2055" i="1"/>
  <c r="D2169" i="1"/>
  <c r="D2097" i="1"/>
  <c r="D2188" i="1"/>
  <c r="D2285" i="1"/>
  <c r="O1468" i="1"/>
  <c r="O1469" i="1"/>
  <c r="O1463" i="1"/>
  <c r="O1461" i="1"/>
  <c r="O1459" i="1"/>
  <c r="O1462" i="1"/>
  <c r="O1457" i="1"/>
  <c r="O1455" i="1"/>
  <c r="O1445" i="1"/>
  <c r="O1441" i="1" l="1"/>
  <c r="O1438" i="1"/>
  <c r="O1436" i="1"/>
  <c r="O1433" i="1"/>
  <c r="O1432" i="1"/>
  <c r="F1432" i="1" l="1"/>
  <c r="O1423" i="1"/>
  <c r="O1418" i="1"/>
  <c r="O1419" i="1"/>
  <c r="O1417" i="1"/>
  <c r="O1409" i="1"/>
  <c r="O1404" i="1" l="1"/>
  <c r="O1403" i="1"/>
  <c r="O1402" i="1"/>
  <c r="O1398" i="1"/>
  <c r="O1396" i="1"/>
  <c r="O1395" i="1"/>
  <c r="O1391" i="1"/>
  <c r="O1390" i="1"/>
  <c r="O1389" i="1"/>
  <c r="O1386" i="1" l="1"/>
  <c r="O1383" i="1"/>
  <c r="O1380" i="1"/>
  <c r="O1379" i="1"/>
  <c r="O1382" i="1"/>
  <c r="O1381" i="1"/>
  <c r="O1378" i="1"/>
  <c r="O1376" i="1" l="1"/>
  <c r="O1374" i="1" s="1"/>
  <c r="O1372" i="1"/>
  <c r="O1369" i="1" l="1"/>
  <c r="O1368" i="1"/>
  <c r="O1366" i="1" s="1"/>
  <c r="S1358" i="1"/>
  <c r="O1358" i="1"/>
  <c r="S1357" i="1"/>
  <c r="O1349" i="1"/>
  <c r="O1350" i="1"/>
  <c r="O1351" i="1"/>
  <c r="O1352" i="1"/>
  <c r="O1353" i="1"/>
  <c r="Q1349" i="1"/>
  <c r="Q1350" i="1"/>
  <c r="Q1351" i="1"/>
  <c r="O1355" i="1"/>
  <c r="O1354" i="1"/>
  <c r="F1355" i="1"/>
  <c r="O1348" i="1"/>
  <c r="G1348" i="1"/>
  <c r="H1348" i="1"/>
  <c r="I1348" i="1"/>
  <c r="J1348" i="1"/>
  <c r="O1347" i="1" l="1"/>
  <c r="O1340" i="1"/>
  <c r="O1339" i="1"/>
  <c r="O1336" i="1"/>
  <c r="O1335" i="1"/>
  <c r="O1330" i="1"/>
  <c r="O1327" i="1"/>
  <c r="O1326" i="1"/>
  <c r="O1325" i="1"/>
  <c r="S1329" i="1"/>
  <c r="O1324" i="1"/>
  <c r="O1329" i="1"/>
  <c r="O1323" i="1" l="1"/>
  <c r="O1291" i="1"/>
  <c r="O1292" i="1"/>
  <c r="O1290" i="1"/>
  <c r="O1286" i="1"/>
  <c r="O1283" i="1"/>
  <c r="O1275" i="1"/>
  <c r="O1288" i="1" l="1"/>
  <c r="O1273" i="1"/>
  <c r="O1269" i="1" s="1"/>
  <c r="J1270" i="1"/>
  <c r="S1884" i="1" l="1"/>
  <c r="S1888" i="1"/>
  <c r="S1886" i="1"/>
  <c r="S1885" i="1"/>
  <c r="S1879" i="1"/>
  <c r="S1878" i="1"/>
  <c r="S1877" i="1"/>
  <c r="Q1888" i="1"/>
  <c r="Q1887" i="1"/>
  <c r="Q1886" i="1"/>
  <c r="Q1885" i="1"/>
  <c r="Q1884" i="1"/>
  <c r="Q1879" i="1"/>
  <c r="Q1878" i="1"/>
  <c r="Q1877" i="1"/>
  <c r="E1878" i="1"/>
  <c r="E1879" i="1"/>
  <c r="D1879" i="1" s="1"/>
  <c r="E1880" i="1"/>
  <c r="D1880" i="1" s="1"/>
  <c r="E1884" i="1"/>
  <c r="E1885" i="1"/>
  <c r="E1886" i="1"/>
  <c r="E1887" i="1"/>
  <c r="D1887" i="1" s="1"/>
  <c r="E1888" i="1"/>
  <c r="E1877" i="1"/>
  <c r="D1877" i="1" s="1"/>
  <c r="S1874" i="1"/>
  <c r="S1873" i="1"/>
  <c r="S1872" i="1"/>
  <c r="S1871" i="1"/>
  <c r="S1870" i="1"/>
  <c r="Q1874" i="1"/>
  <c r="Q1873" i="1"/>
  <c r="Q1872" i="1"/>
  <c r="Q1871" i="1"/>
  <c r="Q1870" i="1"/>
  <c r="E1871" i="1"/>
  <c r="E1872" i="1"/>
  <c r="D1872" i="1" s="1"/>
  <c r="E1873" i="1"/>
  <c r="E1874" i="1"/>
  <c r="E1870" i="1"/>
  <c r="S1868" i="1"/>
  <c r="S1867" i="1"/>
  <c r="S1866" i="1"/>
  <c r="Q1868" i="1"/>
  <c r="Q1867" i="1"/>
  <c r="Q1866" i="1"/>
  <c r="E1867" i="1"/>
  <c r="E1868" i="1"/>
  <c r="E1866" i="1"/>
  <c r="D1866" i="1" s="1"/>
  <c r="E1864" i="1"/>
  <c r="D1864" i="1" s="1"/>
  <c r="E1863" i="1"/>
  <c r="D1863" i="1" s="1"/>
  <c r="Q1861" i="1"/>
  <c r="Q1856" i="1" s="1"/>
  <c r="E1858" i="1"/>
  <c r="D1858" i="1" s="1"/>
  <c r="E1859" i="1"/>
  <c r="D1859" i="1" s="1"/>
  <c r="E1860" i="1"/>
  <c r="D1860" i="1" s="1"/>
  <c r="E1861" i="1"/>
  <c r="D1861" i="1" s="1"/>
  <c r="E1857" i="1"/>
  <c r="D1857" i="1" s="1"/>
  <c r="S1839" i="1"/>
  <c r="S1850" i="1"/>
  <c r="S1849" i="1"/>
  <c r="S1838" i="1"/>
  <c r="Q1852" i="1"/>
  <c r="Q1850" i="1"/>
  <c r="Q1849" i="1"/>
  <c r="Q1842" i="1"/>
  <c r="Q1841" i="1"/>
  <c r="Q1840" i="1"/>
  <c r="Q1839" i="1"/>
  <c r="Q1838" i="1"/>
  <c r="E1839" i="1"/>
  <c r="E1840" i="1"/>
  <c r="D1840" i="1" s="1"/>
  <c r="E1841" i="1"/>
  <c r="D1841" i="1" s="1"/>
  <c r="E1842" i="1"/>
  <c r="D1842" i="1" s="1"/>
  <c r="E1843" i="1"/>
  <c r="D1843" i="1" s="1"/>
  <c r="E1844" i="1"/>
  <c r="D1844" i="1" s="1"/>
  <c r="E1845" i="1"/>
  <c r="D1845" i="1" s="1"/>
  <c r="E1846" i="1"/>
  <c r="D1846" i="1" s="1"/>
  <c r="E1847" i="1"/>
  <c r="D1847" i="1" s="1"/>
  <c r="E1848" i="1"/>
  <c r="D1848" i="1" s="1"/>
  <c r="E1849" i="1"/>
  <c r="E1850" i="1"/>
  <c r="D1850" i="1" s="1"/>
  <c r="E1851" i="1"/>
  <c r="D1851" i="1" s="1"/>
  <c r="E1852" i="1"/>
  <c r="D1852" i="1" s="1"/>
  <c r="E1853" i="1"/>
  <c r="D1853" i="1" s="1"/>
  <c r="E1854" i="1"/>
  <c r="D1854" i="1" s="1"/>
  <c r="E1855" i="1"/>
  <c r="D1855" i="1" s="1"/>
  <c r="E1838" i="1"/>
  <c r="S1823" i="1"/>
  <c r="S1822" i="1"/>
  <c r="S1810" i="1"/>
  <c r="S1796" i="1"/>
  <c r="S1836" i="1"/>
  <c r="S1835" i="1"/>
  <c r="S1829" i="1"/>
  <c r="S1818" i="1"/>
  <c r="S1811" i="1"/>
  <c r="S1809" i="1"/>
  <c r="S1808" i="1"/>
  <c r="S1807" i="1"/>
  <c r="S1806" i="1"/>
  <c r="S1805" i="1"/>
  <c r="S1804" i="1"/>
  <c r="S1803" i="1"/>
  <c r="S1802" i="1"/>
  <c r="S1801" i="1"/>
  <c r="S1800" i="1"/>
  <c r="S1799" i="1"/>
  <c r="S1798" i="1"/>
  <c r="Q1836" i="1"/>
  <c r="Q1835" i="1"/>
  <c r="Q1829" i="1"/>
  <c r="Q1823" i="1"/>
  <c r="Q1822" i="1"/>
  <c r="Q1810" i="1"/>
  <c r="Q1809" i="1"/>
  <c r="Q1808" i="1"/>
  <c r="Q1807" i="1"/>
  <c r="Q1806" i="1"/>
  <c r="Q1805" i="1"/>
  <c r="Q1804" i="1"/>
  <c r="Q1803" i="1"/>
  <c r="Q1802" i="1"/>
  <c r="Q1801" i="1"/>
  <c r="Q1800" i="1"/>
  <c r="Q1799" i="1"/>
  <c r="Q1798" i="1"/>
  <c r="Q1796" i="1"/>
  <c r="E1793" i="1"/>
  <c r="D1793" i="1" s="1"/>
  <c r="E1794" i="1"/>
  <c r="D1794" i="1" s="1"/>
  <c r="E1795" i="1"/>
  <c r="D1795" i="1" s="1"/>
  <c r="E1796" i="1"/>
  <c r="D1796" i="1" s="1"/>
  <c r="E1797" i="1"/>
  <c r="D1797" i="1" s="1"/>
  <c r="E1798" i="1"/>
  <c r="D1798" i="1" s="1"/>
  <c r="E1799" i="1"/>
  <c r="E1800" i="1"/>
  <c r="E1801" i="1"/>
  <c r="E1802" i="1"/>
  <c r="E1803" i="1"/>
  <c r="E1804" i="1"/>
  <c r="E1805" i="1"/>
  <c r="E1806" i="1"/>
  <c r="D1806" i="1" s="1"/>
  <c r="E1807" i="1"/>
  <c r="E1808" i="1"/>
  <c r="E1809" i="1"/>
  <c r="E1810" i="1"/>
  <c r="D1810" i="1" s="1"/>
  <c r="E1811" i="1"/>
  <c r="E1812" i="1"/>
  <c r="D1812" i="1" s="1"/>
  <c r="E1813" i="1"/>
  <c r="D1813" i="1" s="1"/>
  <c r="E1814" i="1"/>
  <c r="D1814" i="1" s="1"/>
  <c r="E1815" i="1"/>
  <c r="D1815" i="1" s="1"/>
  <c r="E1816" i="1"/>
  <c r="D1816" i="1" s="1"/>
  <c r="E1817" i="1"/>
  <c r="D1817" i="1" s="1"/>
  <c r="E1818" i="1"/>
  <c r="E1819" i="1"/>
  <c r="D1819" i="1" s="1"/>
  <c r="E1820" i="1"/>
  <c r="D1820" i="1" s="1"/>
  <c r="E1821" i="1"/>
  <c r="D1821" i="1" s="1"/>
  <c r="E1822" i="1"/>
  <c r="D1822" i="1" s="1"/>
  <c r="E1823" i="1"/>
  <c r="E1824" i="1"/>
  <c r="D1824" i="1" s="1"/>
  <c r="E1825" i="1"/>
  <c r="D1825" i="1" s="1"/>
  <c r="E1826" i="1"/>
  <c r="D1826" i="1" s="1"/>
  <c r="E1827" i="1"/>
  <c r="D1827" i="1" s="1"/>
  <c r="E1828" i="1"/>
  <c r="D1828" i="1" s="1"/>
  <c r="E1829" i="1"/>
  <c r="D1829" i="1" s="1"/>
  <c r="E1834" i="1"/>
  <c r="D1834" i="1" s="1"/>
  <c r="E1830" i="1"/>
  <c r="D1830" i="1" s="1"/>
  <c r="E1831" i="1"/>
  <c r="D1831" i="1" s="1"/>
  <c r="E1832" i="1"/>
  <c r="D1832" i="1" s="1"/>
  <c r="E1833" i="1"/>
  <c r="D1833" i="1" s="1"/>
  <c r="E1835" i="1"/>
  <c r="E1836" i="1"/>
  <c r="E1792" i="1"/>
  <c r="D1792" i="1" s="1"/>
  <c r="E1791" i="1"/>
  <c r="D1791" i="1" s="1"/>
  <c r="D1818" i="1" l="1"/>
  <c r="D1885" i="1"/>
  <c r="D1849" i="1"/>
  <c r="D1802" i="1"/>
  <c r="D1878" i="1"/>
  <c r="D1870" i="1"/>
  <c r="D1874" i="1"/>
  <c r="D1823" i="1"/>
  <c r="D1809" i="1"/>
  <c r="D1805" i="1"/>
  <c r="D1801" i="1"/>
  <c r="D1868" i="1"/>
  <c r="D1865" i="1" s="1"/>
  <c r="D1871" i="1"/>
  <c r="D1888" i="1"/>
  <c r="D1884" i="1"/>
  <c r="D1836" i="1"/>
  <c r="D1808" i="1"/>
  <c r="D1804" i="1"/>
  <c r="D1800" i="1"/>
  <c r="D1838" i="1"/>
  <c r="D1867" i="1"/>
  <c r="D1835" i="1"/>
  <c r="D1811" i="1"/>
  <c r="D1807" i="1"/>
  <c r="D1803" i="1"/>
  <c r="D1799" i="1"/>
  <c r="D1839" i="1"/>
  <c r="D1873" i="1"/>
  <c r="D1886" i="1"/>
  <c r="S1837" i="1"/>
  <c r="Q1837" i="1"/>
  <c r="E1856" i="1"/>
  <c r="Q1790" i="1"/>
  <c r="S1790" i="1"/>
  <c r="E1790" i="1"/>
  <c r="E1837" i="1"/>
  <c r="S1875" i="1"/>
  <c r="E1875" i="1"/>
  <c r="Q1875" i="1"/>
  <c r="E1862" i="1"/>
  <c r="Q1865" i="1"/>
  <c r="Q1869" i="1"/>
  <c r="S1869" i="1"/>
  <c r="E1865" i="1"/>
  <c r="S1865" i="1"/>
  <c r="E1869" i="1"/>
  <c r="J1789" i="1"/>
  <c r="J2614" i="1"/>
  <c r="J1010" i="1"/>
  <c r="J1788" i="1"/>
  <c r="J1785" i="1"/>
  <c r="J1784" i="1"/>
  <c r="J1783" i="1"/>
  <c r="J1782" i="1"/>
  <c r="J974" i="1"/>
  <c r="J1781" i="1"/>
  <c r="J962" i="1"/>
  <c r="J1777" i="1"/>
  <c r="J1776" i="1"/>
  <c r="J2604" i="1"/>
  <c r="J2603" i="1"/>
  <c r="J2602" i="1"/>
  <c r="J1780" i="1"/>
  <c r="J1779" i="1"/>
  <c r="J1778" i="1"/>
  <c r="J936" i="1"/>
  <c r="J2595" i="1"/>
  <c r="J1774" i="1"/>
  <c r="J916" i="1"/>
  <c r="J1772" i="1"/>
  <c r="J1773" i="1"/>
  <c r="J911" i="1"/>
  <c r="J1766" i="1"/>
  <c r="J895" i="1"/>
  <c r="J2586" i="1"/>
  <c r="J1764" i="1"/>
  <c r="J1761" i="1"/>
  <c r="J2583" i="1"/>
  <c r="J1760" i="1"/>
  <c r="J1763" i="1"/>
  <c r="J1759" i="1"/>
  <c r="J1758" i="1"/>
  <c r="J868" i="1"/>
  <c r="J1757" i="1"/>
  <c r="J1756" i="1"/>
  <c r="J1749" i="1"/>
  <c r="J837" i="1"/>
  <c r="J1747" i="1"/>
  <c r="J836" i="1"/>
  <c r="J1752" i="1"/>
  <c r="J1751" i="1"/>
  <c r="J1750" i="1"/>
  <c r="J1746" i="1"/>
  <c r="J1745" i="1"/>
  <c r="J1744" i="1"/>
  <c r="J1743" i="1"/>
  <c r="J1737" i="1"/>
  <c r="J1736" i="1"/>
  <c r="J1735" i="1"/>
  <c r="J1742" i="1"/>
  <c r="J1741" i="1"/>
  <c r="J1740" i="1"/>
  <c r="J1738" i="1"/>
  <c r="J1724" i="1"/>
  <c r="J1723" i="1"/>
  <c r="J2549" i="1"/>
  <c r="J2548" i="1"/>
  <c r="J2547" i="1"/>
  <c r="J1728" i="1"/>
  <c r="J1727" i="1"/>
  <c r="J1721" i="1"/>
  <c r="J1717" i="1"/>
  <c r="J1720" i="1"/>
  <c r="J1719" i="1"/>
  <c r="J1718" i="1"/>
  <c r="J1716" i="1"/>
  <c r="J1712" i="1"/>
  <c r="J2530" i="1"/>
  <c r="J1711" i="1"/>
  <c r="J1710" i="1"/>
  <c r="J1709" i="1"/>
  <c r="J1708" i="1"/>
  <c r="J2522" i="1"/>
  <c r="J1707" i="1"/>
  <c r="J1705" i="1"/>
  <c r="J1702" i="1"/>
  <c r="J2520" i="1"/>
  <c r="J2519" i="1"/>
  <c r="J1701" i="1"/>
  <c r="J1689" i="1"/>
  <c r="J1700" i="1"/>
  <c r="J2517" i="1"/>
  <c r="J1699" i="1"/>
  <c r="J1698" i="1"/>
  <c r="J1697" i="1"/>
  <c r="J1696" i="1"/>
  <c r="J1695" i="1"/>
  <c r="J2515" i="1"/>
  <c r="J1694" i="1"/>
  <c r="J1693" i="1"/>
  <c r="J2513" i="1"/>
  <c r="J2510" i="1"/>
  <c r="J1687" i="1"/>
  <c r="J1684" i="1"/>
  <c r="J1683" i="1"/>
  <c r="J1682" i="1"/>
  <c r="J1680" i="1"/>
  <c r="J1678" i="1"/>
  <c r="J1677" i="1"/>
  <c r="J1676" i="1"/>
  <c r="J1675" i="1"/>
  <c r="J1674" i="1"/>
  <c r="J1664" i="1"/>
  <c r="J1663" i="1"/>
  <c r="J1662" i="1"/>
  <c r="J1661" i="1"/>
  <c r="J2476" i="1"/>
  <c r="J1650" i="1"/>
  <c r="J2475" i="1"/>
  <c r="J2474" i="1"/>
  <c r="J1659" i="1"/>
  <c r="J2473" i="1"/>
  <c r="J1657" i="1"/>
  <c r="J1656" i="1"/>
  <c r="J1655" i="1"/>
  <c r="J1654" i="1"/>
  <c r="J1653" i="1"/>
  <c r="J2472" i="1"/>
  <c r="J1652" i="1"/>
  <c r="J1651" i="1"/>
  <c r="J2471" i="1"/>
  <c r="J2470" i="1"/>
  <c r="J1649" i="1"/>
  <c r="J1648" i="1"/>
  <c r="J1647" i="1"/>
  <c r="J1646" i="1"/>
  <c r="J1645" i="1"/>
  <c r="J1644" i="1"/>
  <c r="J1642" i="1"/>
  <c r="J1640" i="1"/>
  <c r="J1639" i="1"/>
  <c r="J1638" i="1"/>
  <c r="J2458" i="1"/>
  <c r="J2457" i="1"/>
  <c r="J1636" i="1"/>
  <c r="J1634" i="1"/>
  <c r="J2453" i="1"/>
  <c r="J2452" i="1"/>
  <c r="J2450" i="1"/>
  <c r="J1629" i="1"/>
  <c r="J1627" i="1"/>
  <c r="J1628" i="1"/>
  <c r="J1626" i="1"/>
  <c r="J1625" i="1"/>
  <c r="J1623" i="1"/>
  <c r="J2439" i="1"/>
  <c r="J1622" i="1"/>
  <c r="J585" i="1"/>
  <c r="J1621" i="1"/>
  <c r="J1619" i="1"/>
  <c r="J2429" i="1"/>
  <c r="J574" i="1"/>
  <c r="J1618" i="1"/>
  <c r="J573" i="1"/>
  <c r="J572" i="1"/>
  <c r="J570" i="1"/>
  <c r="J569" i="1"/>
  <c r="J1616" i="1"/>
  <c r="J1615" i="1"/>
  <c r="J1614" i="1"/>
  <c r="J1613" i="1"/>
  <c r="J1612" i="1"/>
  <c r="J1611" i="1"/>
  <c r="J1609" i="1"/>
  <c r="J1610" i="1"/>
  <c r="J1608" i="1"/>
  <c r="J1607" i="1"/>
  <c r="J1604" i="1"/>
  <c r="J2420" i="1"/>
  <c r="J1606" i="1"/>
  <c r="J1605" i="1"/>
  <c r="J1601" i="1"/>
  <c r="J1603" i="1"/>
  <c r="J1600" i="1"/>
  <c r="J1599" i="1"/>
  <c r="J2416" i="1"/>
  <c r="J1598" i="1"/>
  <c r="J1597" i="1"/>
  <c r="J1595" i="1"/>
  <c r="J1593" i="1"/>
  <c r="J1592" i="1"/>
  <c r="J2409" i="1"/>
  <c r="J1590" i="1"/>
  <c r="J2405" i="1"/>
  <c r="J1586" i="1"/>
  <c r="J1585" i="1"/>
  <c r="J1584" i="1"/>
  <c r="J1583" i="1"/>
  <c r="J1582" i="1"/>
  <c r="J1581" i="1"/>
  <c r="J1580" i="1"/>
  <c r="J1579" i="1"/>
  <c r="J1578" i="1"/>
  <c r="J1577" i="1"/>
  <c r="J1575" i="1"/>
  <c r="J1573" i="1"/>
  <c r="J1574" i="1"/>
  <c r="J1570" i="1"/>
  <c r="J1565" i="1"/>
  <c r="J1564" i="1"/>
  <c r="J1561" i="1"/>
  <c r="J1560" i="1"/>
  <c r="J1559" i="1"/>
  <c r="J1558" i="1"/>
  <c r="J1555" i="1"/>
  <c r="J1554" i="1"/>
  <c r="J1553" i="1"/>
  <c r="J1552" i="1"/>
  <c r="J1551" i="1"/>
  <c r="J1550" i="1"/>
  <c r="J1549" i="1"/>
  <c r="J1548" i="1"/>
  <c r="J1547" i="1"/>
  <c r="J1546" i="1"/>
  <c r="J1543" i="1"/>
  <c r="J1542" i="1"/>
  <c r="J1541" i="1"/>
  <c r="J1540" i="1"/>
  <c r="J1539" i="1"/>
  <c r="J1538" i="1"/>
  <c r="J1537" i="1"/>
  <c r="J1536" i="1"/>
  <c r="J1534" i="1"/>
  <c r="J1533" i="1"/>
  <c r="J1532" i="1"/>
  <c r="J1531" i="1"/>
  <c r="J1530" i="1"/>
  <c r="J1528" i="1"/>
  <c r="J1527" i="1"/>
  <c r="J1526" i="1"/>
  <c r="J1525" i="1"/>
  <c r="J1529" i="1"/>
  <c r="I1789" i="1"/>
  <c r="I2614" i="1"/>
  <c r="I1010" i="1"/>
  <c r="I1788" i="1"/>
  <c r="I1785" i="1"/>
  <c r="I1784" i="1"/>
  <c r="I1783" i="1"/>
  <c r="I962" i="1"/>
  <c r="I1777" i="1"/>
  <c r="I1776" i="1"/>
  <c r="I1780" i="1"/>
  <c r="I1779" i="1"/>
  <c r="I1778" i="1"/>
  <c r="I2595" i="1"/>
  <c r="I1774" i="1"/>
  <c r="I916" i="1"/>
  <c r="I1772" i="1"/>
  <c r="I1773" i="1"/>
  <c r="I911" i="1"/>
  <c r="I1766" i="1"/>
  <c r="I895" i="1"/>
  <c r="I1764" i="1"/>
  <c r="I1761" i="1"/>
  <c r="I1760" i="1"/>
  <c r="I1763" i="1"/>
  <c r="I1759" i="1"/>
  <c r="I1758" i="1"/>
  <c r="I868" i="1"/>
  <c r="I1757" i="1"/>
  <c r="I1756" i="1"/>
  <c r="I1749" i="1"/>
  <c r="I837" i="1"/>
  <c r="I1747" i="1"/>
  <c r="I836" i="1"/>
  <c r="I1752" i="1"/>
  <c r="I1751" i="1"/>
  <c r="I1750" i="1"/>
  <c r="I1746" i="1"/>
  <c r="I1744" i="1"/>
  <c r="I1743" i="1"/>
  <c r="I1735" i="1"/>
  <c r="I1741" i="1"/>
  <c r="I1738" i="1"/>
  <c r="I1724" i="1"/>
  <c r="I1723" i="1"/>
  <c r="I2549" i="1"/>
  <c r="I2548" i="1"/>
  <c r="I2547" i="1"/>
  <c r="I1728" i="1"/>
  <c r="I1727" i="1"/>
  <c r="I1721" i="1"/>
  <c r="I1717" i="1"/>
  <c r="I1720" i="1"/>
  <c r="I1719" i="1"/>
  <c r="I1718" i="1"/>
  <c r="I1716" i="1"/>
  <c r="I1712" i="1"/>
  <c r="I2530" i="1"/>
  <c r="I1711" i="1"/>
  <c r="I1710" i="1"/>
  <c r="I1709" i="1"/>
  <c r="I1708" i="1"/>
  <c r="I1707" i="1"/>
  <c r="I1705" i="1"/>
  <c r="I1702" i="1"/>
  <c r="I2520" i="1"/>
  <c r="I2519" i="1"/>
  <c r="I1701" i="1"/>
  <c r="I1689" i="1"/>
  <c r="I1700" i="1"/>
  <c r="I2517" i="1"/>
  <c r="I1699" i="1"/>
  <c r="I1698" i="1"/>
  <c r="I1697" i="1"/>
  <c r="I1696" i="1"/>
  <c r="I1695" i="1"/>
  <c r="I2515" i="1"/>
  <c r="I1694" i="1"/>
  <c r="I1693" i="1"/>
  <c r="I2510" i="1"/>
  <c r="I1687" i="1"/>
  <c r="I1684" i="1"/>
  <c r="I1683" i="1"/>
  <c r="I1682" i="1"/>
  <c r="I1680" i="1"/>
  <c r="I1678" i="1"/>
  <c r="I1677" i="1"/>
  <c r="I1676" i="1"/>
  <c r="I1675" i="1"/>
  <c r="I1674" i="1"/>
  <c r="I1664" i="1"/>
  <c r="I1663" i="1"/>
  <c r="I1662" i="1"/>
  <c r="I1661" i="1"/>
  <c r="I1650" i="1"/>
  <c r="I2475" i="1"/>
  <c r="I2474" i="1"/>
  <c r="I2473" i="1"/>
  <c r="I1655" i="1"/>
  <c r="I1654" i="1"/>
  <c r="I1653" i="1"/>
  <c r="I1652" i="1"/>
  <c r="I1651" i="1"/>
  <c r="I2471" i="1"/>
  <c r="I2470" i="1"/>
  <c r="I1649" i="1"/>
  <c r="I1648" i="1"/>
  <c r="I1647" i="1"/>
  <c r="I1646" i="1"/>
  <c r="I1645" i="1"/>
  <c r="I1644" i="1"/>
  <c r="I1640" i="1"/>
  <c r="I1639" i="1"/>
  <c r="I1638" i="1"/>
  <c r="I2458" i="1"/>
  <c r="I2457" i="1"/>
  <c r="I1636" i="1"/>
  <c r="I1634" i="1"/>
  <c r="I2453" i="1"/>
  <c r="I2452" i="1"/>
  <c r="I2450" i="1"/>
  <c r="I1629" i="1"/>
  <c r="I1627" i="1"/>
  <c r="I1628" i="1"/>
  <c r="I1626" i="1"/>
  <c r="I1625" i="1"/>
  <c r="I1623" i="1"/>
  <c r="I2439" i="1"/>
  <c r="I1622" i="1"/>
  <c r="I1621" i="1"/>
  <c r="I1619" i="1"/>
  <c r="I2429" i="1"/>
  <c r="I574" i="1"/>
  <c r="I1618" i="1"/>
  <c r="I573" i="1"/>
  <c r="I572" i="1"/>
  <c r="I570" i="1"/>
  <c r="I569" i="1"/>
  <c r="I1616" i="1"/>
  <c r="I1615" i="1"/>
  <c r="I1614" i="1"/>
  <c r="I1613" i="1"/>
  <c r="I1612" i="1"/>
  <c r="I1611" i="1"/>
  <c r="I1609" i="1"/>
  <c r="I1610" i="1"/>
  <c r="I1604" i="1"/>
  <c r="I2420" i="1"/>
  <c r="I1606" i="1"/>
  <c r="I1605" i="1"/>
  <c r="I1601" i="1"/>
  <c r="I1603" i="1"/>
  <c r="I1599" i="1"/>
  <c r="I2416" i="1"/>
  <c r="I1598" i="1"/>
  <c r="I1597" i="1"/>
  <c r="I1595" i="1"/>
  <c r="I1593" i="1"/>
  <c r="I1592" i="1"/>
  <c r="I2409" i="1"/>
  <c r="I1590" i="1"/>
  <c r="I2405" i="1"/>
  <c r="I1586" i="1"/>
  <c r="I1585" i="1"/>
  <c r="I1584" i="1"/>
  <c r="I1583" i="1"/>
  <c r="I1582" i="1"/>
  <c r="I1581" i="1"/>
  <c r="I1580" i="1"/>
  <c r="I1579" i="1"/>
  <c r="I1578" i="1"/>
  <c r="I1577" i="1"/>
  <c r="I1573" i="1"/>
  <c r="I1565" i="1"/>
  <c r="I1564" i="1"/>
  <c r="I1560" i="1"/>
  <c r="I1559" i="1"/>
  <c r="I1558" i="1"/>
  <c r="I1554" i="1"/>
  <c r="I1553" i="1"/>
  <c r="I1552" i="1"/>
  <c r="I1551" i="1"/>
  <c r="I1549" i="1"/>
  <c r="I1550" i="1"/>
  <c r="I1548" i="1"/>
  <c r="I1547" i="1"/>
  <c r="I1546" i="1"/>
  <c r="I1543" i="1"/>
  <c r="I1542" i="1"/>
  <c r="I1540" i="1"/>
  <c r="I1539" i="1"/>
  <c r="I1538" i="1"/>
  <c r="I1537" i="1"/>
  <c r="I1536" i="1"/>
  <c r="I1528" i="1"/>
  <c r="I1527" i="1"/>
  <c r="I1526" i="1"/>
  <c r="I1525" i="1"/>
  <c r="I1529" i="1"/>
  <c r="H1789" i="1"/>
  <c r="H2614" i="1"/>
  <c r="H1010" i="1"/>
  <c r="H1788" i="1"/>
  <c r="H1785" i="1"/>
  <c r="H1784" i="1"/>
  <c r="H1783" i="1"/>
  <c r="H1782" i="1"/>
  <c r="H974" i="1"/>
  <c r="H1781" i="1"/>
  <c r="H962" i="1"/>
  <c r="H1777" i="1"/>
  <c r="H1776" i="1"/>
  <c r="H2604" i="1"/>
  <c r="H2603" i="1"/>
  <c r="H2602" i="1"/>
  <c r="H1780" i="1"/>
  <c r="H1779" i="1"/>
  <c r="H1778" i="1"/>
  <c r="H936" i="1"/>
  <c r="H2595" i="1"/>
  <c r="H1774" i="1"/>
  <c r="H916" i="1"/>
  <c r="H1772" i="1"/>
  <c r="H1773" i="1"/>
  <c r="H911" i="1"/>
  <c r="H1766" i="1"/>
  <c r="H895" i="1"/>
  <c r="H2586" i="1"/>
  <c r="H1764" i="1"/>
  <c r="H1761" i="1"/>
  <c r="H1760" i="1"/>
  <c r="H1763" i="1"/>
  <c r="H1759" i="1"/>
  <c r="H1758" i="1"/>
  <c r="H868" i="1"/>
  <c r="H1757" i="1"/>
  <c r="H1756" i="1"/>
  <c r="H1749" i="1"/>
  <c r="H837" i="1"/>
  <c r="H1747" i="1"/>
  <c r="H836" i="1"/>
  <c r="H1752" i="1"/>
  <c r="H1751" i="1"/>
  <c r="H1750" i="1"/>
  <c r="H1746" i="1"/>
  <c r="H1745" i="1"/>
  <c r="H1744" i="1"/>
  <c r="H1743" i="1"/>
  <c r="H1737" i="1"/>
  <c r="H1736" i="1"/>
  <c r="H1735" i="1"/>
  <c r="H1742" i="1"/>
  <c r="H1741" i="1"/>
  <c r="H1740" i="1"/>
  <c r="H1738" i="1"/>
  <c r="H1724" i="1"/>
  <c r="H1723" i="1"/>
  <c r="H2549" i="1"/>
  <c r="H2548" i="1"/>
  <c r="H2547" i="1"/>
  <c r="H1728" i="1"/>
  <c r="H1727" i="1"/>
  <c r="H1721" i="1"/>
  <c r="H1717" i="1"/>
  <c r="H1720" i="1"/>
  <c r="H1719" i="1"/>
  <c r="H1718" i="1"/>
  <c r="H1716" i="1"/>
  <c r="H1712" i="1"/>
  <c r="H2530" i="1"/>
  <c r="H1711" i="1"/>
  <c r="H1710" i="1"/>
  <c r="H1709" i="1"/>
  <c r="H1708" i="1"/>
  <c r="H2522" i="1"/>
  <c r="H1707" i="1"/>
  <c r="H1705" i="1"/>
  <c r="H1702" i="1"/>
  <c r="H2520" i="1"/>
  <c r="H2519" i="1"/>
  <c r="H1701" i="1"/>
  <c r="H1689" i="1"/>
  <c r="H1700" i="1"/>
  <c r="H2517" i="1"/>
  <c r="H1699" i="1"/>
  <c r="H1698" i="1"/>
  <c r="H1697" i="1"/>
  <c r="H1696" i="1"/>
  <c r="H1695" i="1"/>
  <c r="H2515" i="1"/>
  <c r="H1694" i="1"/>
  <c r="H1693" i="1"/>
  <c r="H2513" i="1"/>
  <c r="H2510" i="1"/>
  <c r="H1687" i="1"/>
  <c r="H1684" i="1"/>
  <c r="H1683" i="1"/>
  <c r="H1682" i="1"/>
  <c r="H1680" i="1"/>
  <c r="H1678" i="1"/>
  <c r="H1677" i="1"/>
  <c r="H1676" i="1"/>
  <c r="H1675" i="1"/>
  <c r="H1674" i="1"/>
  <c r="H1664" i="1"/>
  <c r="H1663" i="1"/>
  <c r="H1662" i="1"/>
  <c r="H1661" i="1"/>
  <c r="H2476" i="1"/>
  <c r="H1650" i="1"/>
  <c r="H2475" i="1"/>
  <c r="H2474" i="1"/>
  <c r="H1659" i="1"/>
  <c r="H2473" i="1"/>
  <c r="H1657" i="1"/>
  <c r="H1656" i="1"/>
  <c r="H1655" i="1"/>
  <c r="H1654" i="1"/>
  <c r="H1653" i="1"/>
  <c r="H2472" i="1"/>
  <c r="H1652" i="1"/>
  <c r="H1651" i="1"/>
  <c r="H2471" i="1"/>
  <c r="H2470" i="1"/>
  <c r="H1649" i="1"/>
  <c r="H1648" i="1"/>
  <c r="H1647" i="1"/>
  <c r="H1646" i="1"/>
  <c r="H1645" i="1"/>
  <c r="H1644" i="1"/>
  <c r="H1642" i="1"/>
  <c r="H1640" i="1"/>
  <c r="H1639" i="1"/>
  <c r="H1638" i="1"/>
  <c r="H2458" i="1"/>
  <c r="H2457" i="1"/>
  <c r="H1636" i="1"/>
  <c r="H1634" i="1"/>
  <c r="H2453" i="1"/>
  <c r="H2452" i="1"/>
  <c r="H2450" i="1"/>
  <c r="H1629" i="1"/>
  <c r="H1627" i="1"/>
  <c r="H1628" i="1"/>
  <c r="H1626" i="1"/>
  <c r="H1625" i="1"/>
  <c r="H1623" i="1"/>
  <c r="H2439" i="1"/>
  <c r="H1622" i="1"/>
  <c r="H585" i="1"/>
  <c r="H1621" i="1"/>
  <c r="H1619" i="1"/>
  <c r="H2429" i="1"/>
  <c r="H574" i="1"/>
  <c r="H1618" i="1"/>
  <c r="H573" i="1"/>
  <c r="H572" i="1"/>
  <c r="H570" i="1"/>
  <c r="H569" i="1"/>
  <c r="H1616" i="1"/>
  <c r="H1615" i="1"/>
  <c r="H1614" i="1"/>
  <c r="H1613" i="1"/>
  <c r="H1612" i="1"/>
  <c r="H1611" i="1"/>
  <c r="H1609" i="1"/>
  <c r="H1610" i="1"/>
  <c r="H1608" i="1"/>
  <c r="H1607" i="1"/>
  <c r="H1604" i="1"/>
  <c r="H2420" i="1"/>
  <c r="H1606" i="1"/>
  <c r="H1605" i="1"/>
  <c r="H1601" i="1"/>
  <c r="H1603" i="1"/>
  <c r="H1600" i="1"/>
  <c r="H1599" i="1"/>
  <c r="H2416" i="1"/>
  <c r="H1598" i="1"/>
  <c r="H1597" i="1"/>
  <c r="H1595" i="1"/>
  <c r="H1593" i="1"/>
  <c r="H1592" i="1"/>
  <c r="H2409" i="1"/>
  <c r="H1590" i="1"/>
  <c r="H2405" i="1"/>
  <c r="H1586" i="1"/>
  <c r="H1585" i="1"/>
  <c r="H1584" i="1"/>
  <c r="H1583" i="1"/>
  <c r="H1582" i="1"/>
  <c r="H1581" i="1"/>
  <c r="H1580" i="1"/>
  <c r="H1579" i="1"/>
  <c r="H1578" i="1"/>
  <c r="H1577" i="1"/>
  <c r="H1575" i="1"/>
  <c r="H1573" i="1"/>
  <c r="H1574" i="1"/>
  <c r="H1570" i="1"/>
  <c r="H1565" i="1"/>
  <c r="H1564" i="1"/>
  <c r="H1561" i="1"/>
  <c r="H1560" i="1"/>
  <c r="H1559" i="1"/>
  <c r="H1558" i="1"/>
  <c r="H1555" i="1"/>
  <c r="H1554" i="1"/>
  <c r="I1523" i="1" l="1"/>
  <c r="D1875" i="1"/>
  <c r="J1523" i="1"/>
  <c r="D1869" i="1"/>
  <c r="D1790" i="1"/>
  <c r="D1856" i="1"/>
  <c r="D1837" i="1"/>
  <c r="D1862" i="1"/>
  <c r="J2333" i="1"/>
  <c r="J1890" i="1" s="1"/>
  <c r="I2333" i="1"/>
  <c r="I1890" i="1" s="1"/>
  <c r="H2333" i="1"/>
  <c r="H1890" i="1" s="1"/>
  <c r="H1553" i="1"/>
  <c r="H1552" i="1"/>
  <c r="H1551" i="1"/>
  <c r="H1550" i="1"/>
  <c r="H1549" i="1"/>
  <c r="H1548" i="1"/>
  <c r="H1547" i="1"/>
  <c r="H1546" i="1"/>
  <c r="H1543" i="1"/>
  <c r="H1542" i="1"/>
  <c r="H1541" i="1"/>
  <c r="H1540" i="1"/>
  <c r="H1539" i="1"/>
  <c r="H1538" i="1"/>
  <c r="H1537" i="1"/>
  <c r="H1536" i="1"/>
  <c r="H1534" i="1"/>
  <c r="H1533" i="1"/>
  <c r="H1532" i="1"/>
  <c r="H1531" i="1"/>
  <c r="H1530" i="1"/>
  <c r="H1528" i="1"/>
  <c r="H1527" i="1"/>
  <c r="H1526" i="1"/>
  <c r="H1525" i="1"/>
  <c r="H1529" i="1"/>
  <c r="G1789" i="1"/>
  <c r="G2614" i="1"/>
  <c r="G1010" i="1"/>
  <c r="G1788" i="1"/>
  <c r="G1785" i="1"/>
  <c r="G1784" i="1"/>
  <c r="G1783" i="1"/>
  <c r="G1782" i="1"/>
  <c r="G974" i="1"/>
  <c r="G1781" i="1"/>
  <c r="G962" i="1"/>
  <c r="G1777" i="1"/>
  <c r="G1776" i="1"/>
  <c r="G1780" i="1"/>
  <c r="G1779" i="1"/>
  <c r="G1778" i="1"/>
  <c r="G1775" i="1"/>
  <c r="G936" i="1"/>
  <c r="G2595" i="1"/>
  <c r="G1774" i="1"/>
  <c r="G916" i="1"/>
  <c r="G1772" i="1"/>
  <c r="G1773" i="1"/>
  <c r="G911" i="1"/>
  <c r="G1767" i="1"/>
  <c r="G1766" i="1"/>
  <c r="G895" i="1"/>
  <c r="G1768" i="1"/>
  <c r="G2586" i="1"/>
  <c r="G1764" i="1"/>
  <c r="G1761" i="1"/>
  <c r="G2583" i="1"/>
  <c r="G1760" i="1"/>
  <c r="G1763" i="1"/>
  <c r="G1762" i="1"/>
  <c r="G1759" i="1"/>
  <c r="G1758" i="1"/>
  <c r="G868" i="1"/>
  <c r="G1757" i="1"/>
  <c r="G1756" i="1"/>
  <c r="G1749" i="1"/>
  <c r="G837" i="1"/>
  <c r="G1747" i="1"/>
  <c r="G836" i="1"/>
  <c r="G1752" i="1"/>
  <c r="G1751" i="1"/>
  <c r="G1750" i="1"/>
  <c r="G1746" i="1"/>
  <c r="G1745" i="1"/>
  <c r="G1744" i="1"/>
  <c r="G1743" i="1"/>
  <c r="G1736" i="1"/>
  <c r="G1735" i="1"/>
  <c r="G1741" i="1"/>
  <c r="G1740" i="1"/>
  <c r="G1739" i="1"/>
  <c r="G1738" i="1"/>
  <c r="G1734" i="1"/>
  <c r="G1726" i="1"/>
  <c r="G1725" i="1"/>
  <c r="G1724" i="1"/>
  <c r="G1723" i="1"/>
  <c r="G2549" i="1"/>
  <c r="G2548" i="1"/>
  <c r="G1731" i="1"/>
  <c r="G2547" i="1"/>
  <c r="G1730" i="1"/>
  <c r="G1729" i="1"/>
  <c r="G1728" i="1"/>
  <c r="G1727" i="1"/>
  <c r="G1721" i="1"/>
  <c r="G1717" i="1"/>
  <c r="G1720" i="1"/>
  <c r="G1719" i="1"/>
  <c r="G1718" i="1"/>
  <c r="G1716" i="1"/>
  <c r="G1712" i="1"/>
  <c r="G2530" i="1"/>
  <c r="G1711" i="1"/>
  <c r="G1710" i="1"/>
  <c r="G1709" i="1"/>
  <c r="G1708" i="1"/>
  <c r="G2522" i="1"/>
  <c r="G1707" i="1"/>
  <c r="G1705" i="1"/>
  <c r="G1702" i="1"/>
  <c r="G2520" i="1"/>
  <c r="G2519" i="1"/>
  <c r="G1701" i="1"/>
  <c r="G1689" i="1"/>
  <c r="G1700" i="1"/>
  <c r="G2517" i="1"/>
  <c r="G1699" i="1"/>
  <c r="G1698" i="1"/>
  <c r="G1697" i="1"/>
  <c r="G1696" i="1"/>
  <c r="G1695" i="1"/>
  <c r="G2515" i="1"/>
  <c r="G1694" i="1"/>
  <c r="G1693" i="1"/>
  <c r="G2513" i="1"/>
  <c r="G2510" i="1"/>
  <c r="G1687" i="1"/>
  <c r="G1684" i="1"/>
  <c r="G1683" i="1"/>
  <c r="G1682" i="1"/>
  <c r="G1680" i="1"/>
  <c r="G1678" i="1"/>
  <c r="G1677" i="1"/>
  <c r="G1676" i="1"/>
  <c r="G1675" i="1"/>
  <c r="G1674" i="1"/>
  <c r="G1673" i="1"/>
  <c r="G1672" i="1"/>
  <c r="G1671" i="1"/>
  <c r="G1664" i="1"/>
  <c r="G1663" i="1"/>
  <c r="G1662" i="1"/>
  <c r="G1661" i="1"/>
  <c r="G2476" i="1"/>
  <c r="G1650" i="1"/>
  <c r="G2475" i="1"/>
  <c r="G2474" i="1"/>
  <c r="G1659" i="1"/>
  <c r="G2473" i="1"/>
  <c r="G1657" i="1"/>
  <c r="G1656" i="1"/>
  <c r="G1655" i="1"/>
  <c r="G1654" i="1"/>
  <c r="G1653" i="1"/>
  <c r="G2472" i="1"/>
  <c r="G1652" i="1"/>
  <c r="G1651" i="1"/>
  <c r="G2471" i="1"/>
  <c r="G2470" i="1"/>
  <c r="G1649" i="1"/>
  <c r="G1648" i="1"/>
  <c r="G1647" i="1"/>
  <c r="G1646" i="1"/>
  <c r="G1645" i="1"/>
  <c r="G1644" i="1"/>
  <c r="G1642" i="1"/>
  <c r="G1640" i="1"/>
  <c r="G1639" i="1"/>
  <c r="G1638" i="1"/>
  <c r="G1637" i="1"/>
  <c r="G2458" i="1"/>
  <c r="G2457" i="1"/>
  <c r="G1636" i="1"/>
  <c r="G1635" i="1"/>
  <c r="G1634" i="1"/>
  <c r="G1633" i="1"/>
  <c r="G1632" i="1"/>
  <c r="G2453" i="1"/>
  <c r="G2452" i="1"/>
  <c r="G2450" i="1"/>
  <c r="G1629" i="1"/>
  <c r="G1627" i="1"/>
  <c r="G1628" i="1"/>
  <c r="G1626" i="1"/>
  <c r="G1625" i="1"/>
  <c r="G1623" i="1"/>
  <c r="G2439" i="1"/>
  <c r="G1622" i="1"/>
  <c r="G585" i="1"/>
  <c r="G1621" i="1"/>
  <c r="G1620" i="1"/>
  <c r="G1619" i="1"/>
  <c r="G2429" i="1"/>
  <c r="G574" i="1"/>
  <c r="G1618" i="1"/>
  <c r="G573" i="1"/>
  <c r="G572" i="1"/>
  <c r="G1617" i="1"/>
  <c r="G570" i="1"/>
  <c r="G569" i="1"/>
  <c r="G1616" i="1"/>
  <c r="G1615" i="1"/>
  <c r="G1614" i="1"/>
  <c r="G1613" i="1"/>
  <c r="G1612" i="1"/>
  <c r="G1611" i="1"/>
  <c r="G1609" i="1"/>
  <c r="G1610" i="1"/>
  <c r="G1607" i="1"/>
  <c r="G1604" i="1"/>
  <c r="G2420" i="1"/>
  <c r="G1606" i="1"/>
  <c r="G1605" i="1"/>
  <c r="G1601" i="1"/>
  <c r="G1603" i="1"/>
  <c r="G1600" i="1"/>
  <c r="G1599" i="1"/>
  <c r="G2416" i="1"/>
  <c r="G1598" i="1"/>
  <c r="G1597" i="1"/>
  <c r="G1595" i="1"/>
  <c r="G1593" i="1"/>
  <c r="G1592" i="1"/>
  <c r="G2409" i="1"/>
  <c r="G1590" i="1"/>
  <c r="G1588" i="1"/>
  <c r="G1587" i="1"/>
  <c r="G2405" i="1"/>
  <c r="G1586" i="1"/>
  <c r="G1585" i="1"/>
  <c r="G1584" i="1"/>
  <c r="G1583" i="1"/>
  <c r="G1582" i="1"/>
  <c r="G1581" i="1"/>
  <c r="G1580" i="1"/>
  <c r="G1579" i="1"/>
  <c r="G1578" i="1"/>
  <c r="G1577" i="1"/>
  <c r="G1575" i="1"/>
  <c r="G1573" i="1"/>
  <c r="G1570" i="1"/>
  <c r="G1565" i="1"/>
  <c r="G1564" i="1"/>
  <c r="G1561" i="1"/>
  <c r="G1560" i="1"/>
  <c r="G1559" i="1"/>
  <c r="G1558" i="1"/>
  <c r="G1555" i="1"/>
  <c r="G1554" i="1"/>
  <c r="G1553" i="1"/>
  <c r="G1552" i="1"/>
  <c r="G1551" i="1"/>
  <c r="G1550" i="1"/>
  <c r="G1549" i="1"/>
  <c r="G1548" i="1"/>
  <c r="G1547" i="1"/>
  <c r="G1546" i="1"/>
  <c r="G1543" i="1"/>
  <c r="G1542" i="1"/>
  <c r="G1541" i="1"/>
  <c r="G1540" i="1"/>
  <c r="G1539" i="1"/>
  <c r="G1538" i="1"/>
  <c r="G1537" i="1"/>
  <c r="G1536" i="1"/>
  <c r="G1534" i="1"/>
  <c r="G1533" i="1"/>
  <c r="G1532" i="1"/>
  <c r="G1530" i="1"/>
  <c r="G1531" i="1"/>
  <c r="G1528" i="1"/>
  <c r="G1527" i="1"/>
  <c r="G1526" i="1"/>
  <c r="G1525" i="1"/>
  <c r="G1529" i="1"/>
  <c r="F1789" i="1"/>
  <c r="F2614" i="1"/>
  <c r="F1010" i="1"/>
  <c r="F1788" i="1"/>
  <c r="F1785" i="1"/>
  <c r="F1784" i="1"/>
  <c r="F1783" i="1"/>
  <c r="F1782" i="1"/>
  <c r="F974" i="1"/>
  <c r="F962" i="1"/>
  <c r="F1777" i="1"/>
  <c r="F1776" i="1"/>
  <c r="F2604" i="1"/>
  <c r="F2603" i="1"/>
  <c r="F2602" i="1"/>
  <c r="F1780" i="1"/>
  <c r="F1779" i="1"/>
  <c r="F1778" i="1"/>
  <c r="F1775" i="1"/>
  <c r="F936" i="1"/>
  <c r="F2595" i="1"/>
  <c r="F1774" i="1"/>
  <c r="F916" i="1"/>
  <c r="F1772" i="1"/>
  <c r="F1773" i="1"/>
  <c r="F911" i="1"/>
  <c r="F1767" i="1"/>
  <c r="F1766" i="1"/>
  <c r="F895" i="1"/>
  <c r="F1768" i="1"/>
  <c r="F1765" i="1"/>
  <c r="F2586" i="1"/>
  <c r="F1764" i="1"/>
  <c r="F1761" i="1"/>
  <c r="F2583" i="1"/>
  <c r="F1760" i="1"/>
  <c r="F1763" i="1"/>
  <c r="F1762" i="1"/>
  <c r="F1759" i="1"/>
  <c r="F1758" i="1"/>
  <c r="F868" i="1"/>
  <c r="F1757" i="1"/>
  <c r="F1756" i="1"/>
  <c r="F1749" i="1"/>
  <c r="F837" i="1"/>
  <c r="F1747" i="1"/>
  <c r="F836" i="1"/>
  <c r="F1752" i="1"/>
  <c r="F1751" i="1"/>
  <c r="F1750" i="1"/>
  <c r="F1746" i="1"/>
  <c r="F1744" i="1"/>
  <c r="F1743" i="1"/>
  <c r="F1737" i="1"/>
  <c r="F1736" i="1"/>
  <c r="F1735" i="1"/>
  <c r="F1742" i="1"/>
  <c r="F1741" i="1"/>
  <c r="F1740" i="1"/>
  <c r="F1739" i="1"/>
  <c r="F1738" i="1"/>
  <c r="F1734" i="1"/>
  <c r="F1726" i="1"/>
  <c r="F1725" i="1"/>
  <c r="F1724" i="1"/>
  <c r="F1723" i="1"/>
  <c r="F2549" i="1"/>
  <c r="F2548" i="1"/>
  <c r="F1731" i="1"/>
  <c r="F2547" i="1"/>
  <c r="F1730" i="1"/>
  <c r="F1729" i="1"/>
  <c r="F1728" i="1"/>
  <c r="F1727" i="1"/>
  <c r="F1721" i="1"/>
  <c r="F1717" i="1"/>
  <c r="F1720" i="1"/>
  <c r="F1719" i="1"/>
  <c r="F1718" i="1"/>
  <c r="F1716" i="1"/>
  <c r="F1714" i="1"/>
  <c r="F1712" i="1"/>
  <c r="F2530" i="1"/>
  <c r="F1711" i="1"/>
  <c r="F1710" i="1"/>
  <c r="F1709" i="1"/>
  <c r="F1708" i="1"/>
  <c r="F2522" i="1"/>
  <c r="F1707" i="1"/>
  <c r="F1705" i="1"/>
  <c r="F1702" i="1"/>
  <c r="F2520" i="1"/>
  <c r="F2519" i="1"/>
  <c r="F1701" i="1"/>
  <c r="F1689" i="1"/>
  <c r="F1700" i="1"/>
  <c r="F2517" i="1"/>
  <c r="F1699" i="1"/>
  <c r="F1698" i="1"/>
  <c r="F1697" i="1"/>
  <c r="F1696" i="1"/>
  <c r="F1695" i="1"/>
  <c r="F2515" i="1"/>
  <c r="F1694" i="1"/>
  <c r="F1693" i="1"/>
  <c r="F2513" i="1"/>
  <c r="F1692" i="1"/>
  <c r="F2510" i="1"/>
  <c r="F1687" i="1"/>
  <c r="F1684" i="1"/>
  <c r="F1683" i="1"/>
  <c r="F1682" i="1"/>
  <c r="F1680" i="1"/>
  <c r="F1678" i="1"/>
  <c r="F1677" i="1"/>
  <c r="F1676" i="1"/>
  <c r="F1675" i="1"/>
  <c r="F1674" i="1"/>
  <c r="F1673" i="1"/>
  <c r="F1672" i="1"/>
  <c r="F1671" i="1"/>
  <c r="F1664" i="1"/>
  <c r="F1663" i="1"/>
  <c r="F1662" i="1"/>
  <c r="F1661" i="1"/>
  <c r="F2476" i="1"/>
  <c r="F2475" i="1"/>
  <c r="F2474" i="1"/>
  <c r="F1659" i="1"/>
  <c r="F2473" i="1"/>
  <c r="F1657" i="1"/>
  <c r="F1656" i="1"/>
  <c r="F1655" i="1"/>
  <c r="F1654" i="1"/>
  <c r="F1653" i="1"/>
  <c r="F2472" i="1"/>
  <c r="F1652" i="1"/>
  <c r="F1651" i="1"/>
  <c r="F2471" i="1"/>
  <c r="F2470" i="1"/>
  <c r="F1649" i="1"/>
  <c r="F1648" i="1"/>
  <c r="F1647" i="1"/>
  <c r="F1646" i="1"/>
  <c r="F1645" i="1"/>
  <c r="F1644" i="1"/>
  <c r="F1642" i="1"/>
  <c r="F1640" i="1"/>
  <c r="F1639" i="1"/>
  <c r="F1638" i="1"/>
  <c r="F1637" i="1"/>
  <c r="F2458" i="1"/>
  <c r="F2457" i="1"/>
  <c r="F1636" i="1"/>
  <c r="F1635" i="1"/>
  <c r="F1634" i="1"/>
  <c r="F1633" i="1"/>
  <c r="F1632" i="1"/>
  <c r="F2453" i="1"/>
  <c r="F2452" i="1"/>
  <c r="F1630" i="1"/>
  <c r="F2450" i="1"/>
  <c r="F1629" i="1"/>
  <c r="F1627" i="1"/>
  <c r="F1628" i="1"/>
  <c r="F1626" i="1"/>
  <c r="F1625" i="1"/>
  <c r="F1623" i="1"/>
  <c r="F2439" i="1"/>
  <c r="F1622" i="1"/>
  <c r="F585" i="1"/>
  <c r="F1621" i="1"/>
  <c r="F1620" i="1"/>
  <c r="F1619" i="1"/>
  <c r="F2429" i="1"/>
  <c r="F574" i="1"/>
  <c r="F1618" i="1"/>
  <c r="F573" i="1"/>
  <c r="F572" i="1"/>
  <c r="F1617" i="1"/>
  <c r="F570" i="1"/>
  <c r="F569" i="1"/>
  <c r="F1616" i="1"/>
  <c r="F1615" i="1"/>
  <c r="F1614" i="1"/>
  <c r="F1613" i="1"/>
  <c r="F1612" i="1"/>
  <c r="F1611" i="1"/>
  <c r="F1609" i="1"/>
  <c r="F1610" i="1"/>
  <c r="F1608" i="1"/>
  <c r="F1607" i="1"/>
  <c r="F1604" i="1"/>
  <c r="H1523" i="1" l="1"/>
  <c r="G1523" i="1"/>
  <c r="G2333" i="1"/>
  <c r="G1890" i="1" s="1"/>
  <c r="F2420" i="1"/>
  <c r="F1606" i="1"/>
  <c r="F1605" i="1"/>
  <c r="F1601" i="1"/>
  <c r="F1603" i="1"/>
  <c r="F1600" i="1"/>
  <c r="F1599" i="1"/>
  <c r="F2416" i="1"/>
  <c r="F1598" i="1"/>
  <c r="F1597" i="1"/>
  <c r="F1595" i="1"/>
  <c r="F1593" i="1"/>
  <c r="F1592" i="1"/>
  <c r="F2409" i="1"/>
  <c r="F1590" i="1"/>
  <c r="F1588" i="1"/>
  <c r="F1587" i="1"/>
  <c r="F2405" i="1"/>
  <c r="F1586" i="1"/>
  <c r="F1585" i="1"/>
  <c r="F1584" i="1"/>
  <c r="F1583" i="1"/>
  <c r="F1582" i="1"/>
  <c r="F1581" i="1"/>
  <c r="F1580" i="1"/>
  <c r="F1579" i="1"/>
  <c r="F1578" i="1"/>
  <c r="F1577" i="1"/>
  <c r="F1575" i="1"/>
  <c r="F1573" i="1"/>
  <c r="F473" i="1"/>
  <c r="F472" i="1"/>
  <c r="F1574" i="1"/>
  <c r="F1570" i="1"/>
  <c r="F1565" i="1"/>
  <c r="F1564" i="1"/>
  <c r="F1561" i="1"/>
  <c r="F1560" i="1"/>
  <c r="F1559" i="1"/>
  <c r="F1558" i="1"/>
  <c r="F1555" i="1"/>
  <c r="F1554" i="1"/>
  <c r="F1553" i="1"/>
  <c r="F1552" i="1"/>
  <c r="F1551" i="1"/>
  <c r="F1550" i="1"/>
  <c r="F1549" i="1"/>
  <c r="F1548" i="1"/>
  <c r="F1547" i="1"/>
  <c r="F1546" i="1"/>
  <c r="F1543" i="1"/>
  <c r="F1542" i="1"/>
  <c r="F1541" i="1"/>
  <c r="F1540" i="1"/>
  <c r="F1539" i="1"/>
  <c r="F1538" i="1"/>
  <c r="F1537" i="1"/>
  <c r="F1536" i="1"/>
  <c r="F1534" i="1"/>
  <c r="F1533" i="1"/>
  <c r="F1532" i="1"/>
  <c r="F1530" i="1"/>
  <c r="F1528" i="1"/>
  <c r="F1527" i="1"/>
  <c r="F1526" i="1"/>
  <c r="F1525" i="1"/>
  <c r="F1529" i="1"/>
  <c r="S388" i="1"/>
  <c r="Q388" i="1"/>
  <c r="J388" i="1"/>
  <c r="H388" i="1"/>
  <c r="G388" i="1"/>
  <c r="B388" i="1"/>
  <c r="F1523" i="1" l="1"/>
  <c r="F2333" i="1"/>
  <c r="F1890" i="1" s="1"/>
  <c r="E388" i="1"/>
  <c r="D388" i="1" s="1"/>
  <c r="J1522" i="1"/>
  <c r="J1521" i="1"/>
  <c r="J1520" i="1"/>
  <c r="J1519" i="1"/>
  <c r="J1516" i="1"/>
  <c r="J1515" i="1"/>
  <c r="J1514" i="1"/>
  <c r="J1511" i="1"/>
  <c r="J1507" i="1"/>
  <c r="J1499" i="1"/>
  <c r="J1500" i="1"/>
  <c r="J1498" i="1"/>
  <c r="J1493" i="1"/>
  <c r="J1492" i="1"/>
  <c r="J1491" i="1"/>
  <c r="J1490" i="1"/>
  <c r="J1488" i="1"/>
  <c r="J1487" i="1"/>
  <c r="J1486" i="1"/>
  <c r="J1489" i="1"/>
  <c r="J1485" i="1"/>
  <c r="J1484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I1522" i="1"/>
  <c r="I1521" i="1"/>
  <c r="I1520" i="1"/>
  <c r="I1519" i="1"/>
  <c r="I1499" i="1"/>
  <c r="I1482" i="1"/>
  <c r="I1480" i="1"/>
  <c r="I1478" i="1"/>
  <c r="I1474" i="1"/>
  <c r="I1473" i="1"/>
  <c r="I1472" i="1"/>
  <c r="I1471" i="1"/>
  <c r="H1522" i="1"/>
  <c r="H1521" i="1"/>
  <c r="H1520" i="1"/>
  <c r="H1519" i="1"/>
  <c r="H1516" i="1"/>
  <c r="H1515" i="1"/>
  <c r="H1514" i="1"/>
  <c r="H1507" i="1"/>
  <c r="H1499" i="1"/>
  <c r="H1500" i="1"/>
  <c r="H1498" i="1"/>
  <c r="H1493" i="1"/>
  <c r="H1492" i="1"/>
  <c r="H1491" i="1"/>
  <c r="H1490" i="1"/>
  <c r="H1488" i="1"/>
  <c r="H1486" i="1"/>
  <c r="H1485" i="1"/>
  <c r="H1484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G1522" i="1"/>
  <c r="G1521" i="1"/>
  <c r="G1520" i="1"/>
  <c r="G1519" i="1"/>
  <c r="G1511" i="1"/>
  <c r="G1499" i="1"/>
  <c r="G1500" i="1"/>
  <c r="G1498" i="1"/>
  <c r="G1493" i="1"/>
  <c r="G1492" i="1"/>
  <c r="G1491" i="1"/>
  <c r="G1490" i="1"/>
  <c r="G1488" i="1"/>
  <c r="G1487" i="1"/>
  <c r="G1486" i="1"/>
  <c r="G1489" i="1"/>
  <c r="G1485" i="1"/>
  <c r="G1484" i="1"/>
  <c r="G1482" i="1"/>
  <c r="G1481" i="1"/>
  <c r="G1480" i="1"/>
  <c r="G1478" i="1"/>
  <c r="G1477" i="1"/>
  <c r="G1476" i="1"/>
  <c r="G1474" i="1"/>
  <c r="G1473" i="1"/>
  <c r="G1472" i="1"/>
  <c r="G1471" i="1"/>
  <c r="F1522" i="1"/>
  <c r="F1521" i="1"/>
  <c r="F1520" i="1"/>
  <c r="F1519" i="1"/>
  <c r="F1516" i="1"/>
  <c r="F1515" i="1"/>
  <c r="F1514" i="1"/>
  <c r="F1513" i="1"/>
  <c r="F1512" i="1"/>
  <c r="F1511" i="1"/>
  <c r="F1510" i="1"/>
  <c r="F1509" i="1"/>
  <c r="F1507" i="1"/>
  <c r="F1505" i="1"/>
  <c r="F1499" i="1"/>
  <c r="F1500" i="1"/>
  <c r="F1498" i="1"/>
  <c r="F1493" i="1"/>
  <c r="F1492" i="1"/>
  <c r="F1491" i="1"/>
  <c r="F1490" i="1"/>
  <c r="F1488" i="1"/>
  <c r="F1487" i="1"/>
  <c r="F1486" i="1"/>
  <c r="F1489" i="1"/>
  <c r="F1485" i="1"/>
  <c r="F1484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J1468" i="1"/>
  <c r="J1465" i="1"/>
  <c r="J1464" i="1"/>
  <c r="J1469" i="1"/>
  <c r="J1460" i="1"/>
  <c r="J1459" i="1"/>
  <c r="J1461" i="1"/>
  <c r="J1451" i="1"/>
  <c r="J1450" i="1"/>
  <c r="J1447" i="1"/>
  <c r="J1445" i="1"/>
  <c r="J1442" i="1"/>
  <c r="J1443" i="1"/>
  <c r="I1468" i="1"/>
  <c r="I1442" i="1"/>
  <c r="I1443" i="1"/>
  <c r="H1468" i="1"/>
  <c r="H1465" i="1"/>
  <c r="H1464" i="1"/>
  <c r="H1469" i="1"/>
  <c r="H1460" i="1"/>
  <c r="H1459" i="1"/>
  <c r="H1461" i="1"/>
  <c r="H1451" i="1"/>
  <c r="H1450" i="1"/>
  <c r="H1447" i="1"/>
  <c r="H1442" i="1"/>
  <c r="H1445" i="1"/>
  <c r="H1443" i="1"/>
  <c r="G1468" i="1"/>
  <c r="G1465" i="1"/>
  <c r="G1464" i="1"/>
  <c r="G1469" i="1"/>
  <c r="G1460" i="1"/>
  <c r="G1459" i="1"/>
  <c r="G1461" i="1"/>
  <c r="G1442" i="1"/>
  <c r="G1443" i="1"/>
  <c r="F1468" i="1"/>
  <c r="F1465" i="1"/>
  <c r="F1464" i="1"/>
  <c r="F1469" i="1"/>
  <c r="F1463" i="1"/>
  <c r="F1460" i="1"/>
  <c r="F1459" i="1"/>
  <c r="F1461" i="1"/>
  <c r="F1458" i="1"/>
  <c r="F1457" i="1"/>
  <c r="F1456" i="1"/>
  <c r="F1455" i="1"/>
  <c r="F1451" i="1"/>
  <c r="F1453" i="1"/>
  <c r="F1452" i="1"/>
  <c r="F1450" i="1"/>
  <c r="F1449" i="1"/>
  <c r="F1448" i="1"/>
  <c r="F1447" i="1"/>
  <c r="F1445" i="1"/>
  <c r="F1442" i="1"/>
  <c r="F1443" i="1"/>
  <c r="Q1058" i="1"/>
  <c r="E1058" i="1"/>
  <c r="B1058" i="1"/>
  <c r="Q1056" i="1"/>
  <c r="E1056" i="1"/>
  <c r="D1056" i="1" s="1"/>
  <c r="B1056" i="1"/>
  <c r="D1058" i="1" l="1"/>
  <c r="I1470" i="1"/>
  <c r="G1470" i="1"/>
  <c r="H1470" i="1"/>
  <c r="J1470" i="1"/>
  <c r="H1441" i="1"/>
  <c r="I1441" i="1"/>
  <c r="G1441" i="1"/>
  <c r="J1441" i="1"/>
  <c r="F1470" i="1"/>
  <c r="F1441" i="1"/>
  <c r="J1440" i="1" l="1"/>
  <c r="J1438" i="1"/>
  <c r="J1436" i="1"/>
  <c r="J1435" i="1"/>
  <c r="J1434" i="1"/>
  <c r="J1431" i="1"/>
  <c r="J1429" i="1"/>
  <c r="J1428" i="1"/>
  <c r="J1423" i="1"/>
  <c r="J1421" i="1"/>
  <c r="J1420" i="1"/>
  <c r="J1419" i="1"/>
  <c r="J1418" i="1"/>
  <c r="J1417" i="1"/>
  <c r="J1416" i="1"/>
  <c r="J1409" i="1"/>
  <c r="J1408" i="1"/>
  <c r="J1407" i="1"/>
  <c r="I1440" i="1"/>
  <c r="I1434" i="1"/>
  <c r="I1431" i="1"/>
  <c r="I1407" i="1"/>
  <c r="H1440" i="1"/>
  <c r="H1438" i="1"/>
  <c r="H1436" i="1"/>
  <c r="H1435" i="1"/>
  <c r="H1434" i="1"/>
  <c r="H1431" i="1"/>
  <c r="H1429" i="1"/>
  <c r="H1428" i="1"/>
  <c r="H1423" i="1"/>
  <c r="H1421" i="1"/>
  <c r="H1420" i="1"/>
  <c r="H1419" i="1"/>
  <c r="H1418" i="1"/>
  <c r="H1417" i="1"/>
  <c r="H1416" i="1"/>
  <c r="H1409" i="1"/>
  <c r="H1408" i="1"/>
  <c r="H1407" i="1"/>
  <c r="G1440" i="1"/>
  <c r="G1434" i="1"/>
  <c r="G1431" i="1"/>
  <c r="G1429" i="1"/>
  <c r="G1428" i="1"/>
  <c r="G1423" i="1"/>
  <c r="G1421" i="1"/>
  <c r="G1420" i="1"/>
  <c r="G1419" i="1"/>
  <c r="G1418" i="1"/>
  <c r="G1417" i="1"/>
  <c r="G1416" i="1"/>
  <c r="G1409" i="1"/>
  <c r="G1407" i="1"/>
  <c r="F1440" i="1"/>
  <c r="F1439" i="1"/>
  <c r="F1438" i="1"/>
  <c r="F1437" i="1"/>
  <c r="F1436" i="1"/>
  <c r="F1435" i="1"/>
  <c r="F1434" i="1"/>
  <c r="F1429" i="1"/>
  <c r="F1428" i="1"/>
  <c r="F1423" i="1"/>
  <c r="F1421" i="1"/>
  <c r="F1420" i="1"/>
  <c r="F1419" i="1"/>
  <c r="F1418" i="1"/>
  <c r="F1417" i="1"/>
  <c r="F1416" i="1"/>
  <c r="F1409" i="1"/>
  <c r="B1429" i="1"/>
  <c r="S1429" i="1"/>
  <c r="Q1429" i="1"/>
  <c r="J1403" i="1"/>
  <c r="J1402" i="1"/>
  <c r="J1401" i="1"/>
  <c r="J1400" i="1"/>
  <c r="J1398" i="1"/>
  <c r="J1396" i="1"/>
  <c r="J1395" i="1"/>
  <c r="J1392" i="1"/>
  <c r="J1391" i="1"/>
  <c r="J1390" i="1"/>
  <c r="J1389" i="1"/>
  <c r="J1387" i="1"/>
  <c r="H1403" i="1"/>
  <c r="H1402" i="1"/>
  <c r="H1401" i="1"/>
  <c r="H1400" i="1"/>
  <c r="H1398" i="1"/>
  <c r="H1396" i="1"/>
  <c r="H1395" i="1"/>
  <c r="H1391" i="1"/>
  <c r="H1390" i="1"/>
  <c r="H1389" i="1"/>
  <c r="H1387" i="1"/>
  <c r="G1403" i="1"/>
  <c r="G1402" i="1"/>
  <c r="G1401" i="1"/>
  <c r="G1400" i="1"/>
  <c r="G1391" i="1"/>
  <c r="G1390" i="1"/>
  <c r="G1389" i="1"/>
  <c r="G1387" i="1"/>
  <c r="F1403" i="1"/>
  <c r="F1402" i="1"/>
  <c r="F1401" i="1"/>
  <c r="F1400" i="1"/>
  <c r="F1398" i="1"/>
  <c r="F1396" i="1"/>
  <c r="F1395" i="1"/>
  <c r="F1394" i="1"/>
  <c r="F1393" i="1"/>
  <c r="F1392" i="1"/>
  <c r="F1391" i="1"/>
  <c r="F1390" i="1"/>
  <c r="F1389" i="1"/>
  <c r="F1388" i="1"/>
  <c r="S2229" i="1"/>
  <c r="S2202" i="1" s="1"/>
  <c r="Q2229" i="1"/>
  <c r="Q2202" i="1" s="1"/>
  <c r="E2229" i="1"/>
  <c r="B2229" i="1"/>
  <c r="J1385" i="1"/>
  <c r="J1384" i="1" s="1"/>
  <c r="I1385" i="1"/>
  <c r="I1384" i="1" s="1"/>
  <c r="H1385" i="1"/>
  <c r="H1384" i="1" s="1"/>
  <c r="G1385" i="1"/>
  <c r="G1384" i="1" s="1"/>
  <c r="F1385" i="1"/>
  <c r="F1384" i="1" s="1"/>
  <c r="J1383" i="1"/>
  <c r="J1379" i="1"/>
  <c r="J1378" i="1"/>
  <c r="J1376" i="1"/>
  <c r="J1375" i="1"/>
  <c r="I1383" i="1"/>
  <c r="I1379" i="1"/>
  <c r="I1378" i="1"/>
  <c r="I1376" i="1"/>
  <c r="I1375" i="1"/>
  <c r="H1383" i="1"/>
  <c r="H1379" i="1"/>
  <c r="H1378" i="1"/>
  <c r="H1376" i="1"/>
  <c r="H1375" i="1"/>
  <c r="G1383" i="1"/>
  <c r="G1379" i="1"/>
  <c r="G1378" i="1"/>
  <c r="G1376" i="1"/>
  <c r="G1375" i="1"/>
  <c r="F1383" i="1"/>
  <c r="F1379" i="1"/>
  <c r="F1378" i="1"/>
  <c r="F1376" i="1"/>
  <c r="F1375" i="1"/>
  <c r="J1373" i="1"/>
  <c r="J1372" i="1"/>
  <c r="J1369" i="1"/>
  <c r="J1368" i="1"/>
  <c r="I1373" i="1"/>
  <c r="I1372" i="1"/>
  <c r="I1369" i="1"/>
  <c r="H1368" i="1"/>
  <c r="H1369" i="1"/>
  <c r="H1373" i="1"/>
  <c r="H1372" i="1"/>
  <c r="G1373" i="1"/>
  <c r="G1372" i="1"/>
  <c r="F1373" i="1"/>
  <c r="F1372" i="1"/>
  <c r="F1369" i="1"/>
  <c r="F1368" i="1"/>
  <c r="H1367" i="1"/>
  <c r="F1365" i="1"/>
  <c r="F1363" i="1" s="1"/>
  <c r="G1365" i="1"/>
  <c r="G1364" i="1"/>
  <c r="J1356" i="1"/>
  <c r="J1358" i="1"/>
  <c r="J1353" i="1"/>
  <c r="J1352" i="1"/>
  <c r="J1351" i="1"/>
  <c r="J1350" i="1"/>
  <c r="J1349" i="1"/>
  <c r="J1355" i="1"/>
  <c r="J1354" i="1"/>
  <c r="I1358" i="1"/>
  <c r="I1353" i="1"/>
  <c r="I1352" i="1"/>
  <c r="I1351" i="1"/>
  <c r="I1350" i="1"/>
  <c r="I1349" i="1"/>
  <c r="I1355" i="1"/>
  <c r="I1354" i="1"/>
  <c r="H1356" i="1"/>
  <c r="H1358" i="1"/>
  <c r="H1353" i="1"/>
  <c r="H1352" i="1"/>
  <c r="H1351" i="1"/>
  <c r="H1350" i="1"/>
  <c r="H1349" i="1"/>
  <c r="H1355" i="1"/>
  <c r="H1354" i="1"/>
  <c r="G1359" i="1"/>
  <c r="G1356" i="1"/>
  <c r="G1358" i="1"/>
  <c r="G1353" i="1"/>
  <c r="G1352" i="1"/>
  <c r="G1351" i="1"/>
  <c r="G1350" i="1"/>
  <c r="G1349" i="1"/>
  <c r="G1355" i="1"/>
  <c r="G1354" i="1"/>
  <c r="F1356" i="1"/>
  <c r="F1358" i="1"/>
  <c r="F1353" i="1"/>
  <c r="F1352" i="1"/>
  <c r="F1351" i="1"/>
  <c r="F1350" i="1"/>
  <c r="F1349" i="1"/>
  <c r="F1354" i="1"/>
  <c r="F1348" i="1"/>
  <c r="J1345" i="1"/>
  <c r="J1344" i="1"/>
  <c r="J1343" i="1"/>
  <c r="H1346" i="1"/>
  <c r="H1345" i="1"/>
  <c r="H1344" i="1"/>
  <c r="H1343" i="1"/>
  <c r="G1343" i="1"/>
  <c r="G1342" i="1" s="1"/>
  <c r="F1345" i="1"/>
  <c r="F1344" i="1"/>
  <c r="F1343" i="1"/>
  <c r="J1340" i="1"/>
  <c r="J1339" i="1"/>
  <c r="J1338" i="1"/>
  <c r="J1337" i="1"/>
  <c r="J1336" i="1"/>
  <c r="J1335" i="1"/>
  <c r="J1331" i="1"/>
  <c r="J1330" i="1"/>
  <c r="J1327" i="1"/>
  <c r="J1326" i="1"/>
  <c r="J1325" i="1"/>
  <c r="J1324" i="1"/>
  <c r="J1329" i="1"/>
  <c r="I1340" i="1"/>
  <c r="I1339" i="1"/>
  <c r="I1338" i="1"/>
  <c r="I1337" i="1"/>
  <c r="I1336" i="1"/>
  <c r="I1335" i="1"/>
  <c r="I1330" i="1"/>
  <c r="I1327" i="1"/>
  <c r="I1326" i="1"/>
  <c r="I1325" i="1"/>
  <c r="I1324" i="1"/>
  <c r="I1329" i="1"/>
  <c r="H1341" i="1"/>
  <c r="H1340" i="1"/>
  <c r="H1339" i="1"/>
  <c r="H1338" i="1"/>
  <c r="H1337" i="1"/>
  <c r="H1336" i="1"/>
  <c r="H1335" i="1"/>
  <c r="H1330" i="1"/>
  <c r="H1327" i="1"/>
  <c r="H1326" i="1"/>
  <c r="H1325" i="1"/>
  <c r="H1324" i="1"/>
  <c r="H1329" i="1"/>
  <c r="G1341" i="1"/>
  <c r="G1340" i="1"/>
  <c r="G1339" i="1"/>
  <c r="G1338" i="1"/>
  <c r="G1337" i="1"/>
  <c r="G1336" i="1"/>
  <c r="G1335" i="1"/>
  <c r="G1331" i="1"/>
  <c r="G1330" i="1"/>
  <c r="G1327" i="1"/>
  <c r="G1326" i="1"/>
  <c r="G1325" i="1"/>
  <c r="G1324" i="1"/>
  <c r="G1329" i="1"/>
  <c r="F1340" i="1"/>
  <c r="F1339" i="1"/>
  <c r="F1338" i="1"/>
  <c r="F1337" i="1"/>
  <c r="F1336" i="1"/>
  <c r="F1335" i="1"/>
  <c r="F1331" i="1"/>
  <c r="F1330" i="1"/>
  <c r="F1327" i="1"/>
  <c r="F1326" i="1"/>
  <c r="F1325" i="1"/>
  <c r="F1324" i="1"/>
  <c r="F1329" i="1"/>
  <c r="J1294" i="1"/>
  <c r="J1292" i="1"/>
  <c r="J1291" i="1"/>
  <c r="J1290" i="1"/>
  <c r="H1294" i="1"/>
  <c r="H1292" i="1"/>
  <c r="H1291" i="1"/>
  <c r="H1290" i="1"/>
  <c r="F1295" i="1"/>
  <c r="F1294" i="1"/>
  <c r="F1292" i="1"/>
  <c r="F1291" i="1"/>
  <c r="F1290" i="1"/>
  <c r="F1289" i="1"/>
  <c r="E2202" i="1" l="1"/>
  <c r="D2229" i="1"/>
  <c r="J1288" i="1"/>
  <c r="H1374" i="1"/>
  <c r="G1363" i="1"/>
  <c r="F1288" i="1"/>
  <c r="F1374" i="1"/>
  <c r="G1386" i="1"/>
  <c r="I1404" i="1"/>
  <c r="I1366" i="1"/>
  <c r="I1347" i="1"/>
  <c r="F1386" i="1"/>
  <c r="F1404" i="1"/>
  <c r="H1342" i="1"/>
  <c r="G1366" i="1"/>
  <c r="H1347" i="1"/>
  <c r="I1374" i="1"/>
  <c r="G1404" i="1"/>
  <c r="J1404" i="1"/>
  <c r="G1347" i="1"/>
  <c r="G1374" i="1"/>
  <c r="H1404" i="1"/>
  <c r="H1288" i="1"/>
  <c r="F1347" i="1"/>
  <c r="H1366" i="1"/>
  <c r="F1366" i="1"/>
  <c r="J1386" i="1"/>
  <c r="J1347" i="1"/>
  <c r="J1366" i="1"/>
  <c r="J1374" i="1"/>
  <c r="H1386" i="1"/>
  <c r="E1429" i="1"/>
  <c r="D1429" i="1" s="1"/>
  <c r="D2202" i="1"/>
  <c r="J1286" i="1" l="1"/>
  <c r="J1285" i="1"/>
  <c r="J1284" i="1"/>
  <c r="J1282" i="1"/>
  <c r="J1281" i="1"/>
  <c r="J1280" i="1"/>
  <c r="J1278" i="1"/>
  <c r="J1277" i="1"/>
  <c r="J1276" i="1"/>
  <c r="J1275" i="1"/>
  <c r="J1274" i="1"/>
  <c r="J1273" i="1"/>
  <c r="J1272" i="1"/>
  <c r="J1271" i="1"/>
  <c r="I1286" i="1"/>
  <c r="I1284" i="1"/>
  <c r="I1280" i="1"/>
  <c r="I1278" i="1"/>
  <c r="I1277" i="1"/>
  <c r="I1275" i="1"/>
  <c r="I1272" i="1"/>
  <c r="I1271" i="1"/>
  <c r="H1286" i="1"/>
  <c r="H1285" i="1"/>
  <c r="H1284" i="1"/>
  <c r="H1282" i="1"/>
  <c r="H1281" i="1"/>
  <c r="H1280" i="1"/>
  <c r="H1278" i="1"/>
  <c r="H1277" i="1"/>
  <c r="H1275" i="1"/>
  <c r="H1274" i="1"/>
  <c r="H1273" i="1"/>
  <c r="H1272" i="1"/>
  <c r="H1271" i="1"/>
  <c r="G1286" i="1"/>
  <c r="G1284" i="1"/>
  <c r="G1280" i="1"/>
  <c r="G1278" i="1"/>
  <c r="G1277" i="1"/>
  <c r="G1276" i="1"/>
  <c r="G1275" i="1"/>
  <c r="G1272" i="1"/>
  <c r="G1271" i="1"/>
  <c r="F1286" i="1"/>
  <c r="F1285" i="1"/>
  <c r="F1284" i="1"/>
  <c r="F1282" i="1"/>
  <c r="F1281" i="1"/>
  <c r="F1280" i="1"/>
  <c r="F1278" i="1"/>
  <c r="F1277" i="1"/>
  <c r="F1275" i="1"/>
  <c r="F1274" i="1"/>
  <c r="F1273" i="1"/>
  <c r="F1272" i="1"/>
  <c r="F1271" i="1"/>
  <c r="O1266" i="1"/>
  <c r="O1261" i="1"/>
  <c r="O1259" i="1"/>
  <c r="O1260" i="1"/>
  <c r="O1254" i="1"/>
  <c r="F1252" i="1"/>
  <c r="O1251" i="1"/>
  <c r="J1251" i="1"/>
  <c r="I1251" i="1"/>
  <c r="H1251" i="1"/>
  <c r="O1248" i="1"/>
  <c r="O1247" i="1"/>
  <c r="O1249" i="1"/>
  <c r="O1246" i="1"/>
  <c r="O1245" i="1"/>
  <c r="O1238" i="1"/>
  <c r="O1236" i="1"/>
  <c r="O1234" i="1"/>
  <c r="O1231" i="1"/>
  <c r="O1230" i="1"/>
  <c r="O1227" i="1"/>
  <c r="O1229" i="1"/>
  <c r="O1228" i="1"/>
  <c r="I1269" i="1" l="1"/>
  <c r="H1269" i="1"/>
  <c r="F1269" i="1"/>
  <c r="J1269" i="1"/>
  <c r="G1269" i="1"/>
  <c r="O1223" i="1"/>
  <c r="O1213" i="1"/>
  <c r="O1217" i="1"/>
  <c r="O1212" i="1"/>
  <c r="O1210" i="1"/>
  <c r="O1209" i="1"/>
  <c r="O1208" i="1"/>
  <c r="O1203" i="1"/>
  <c r="O1202" i="1" l="1"/>
  <c r="B1975" i="1"/>
  <c r="O1201" i="1" l="1"/>
  <c r="O1193" i="1" s="1"/>
  <c r="J1263" i="1"/>
  <c r="J1261" i="1"/>
  <c r="J1258" i="1"/>
  <c r="J1257" i="1"/>
  <c r="J1256" i="1"/>
  <c r="J1255" i="1"/>
  <c r="J1253" i="1"/>
  <c r="J1248" i="1"/>
  <c r="J1249" i="1"/>
  <c r="J1243" i="1"/>
  <c r="J1242" i="1"/>
  <c r="J1238" i="1"/>
  <c r="J1237" i="1"/>
  <c r="J1239" i="1"/>
  <c r="J1236" i="1"/>
  <c r="J1234" i="1"/>
  <c r="J1232" i="1"/>
  <c r="J1231" i="1"/>
  <c r="J1230" i="1"/>
  <c r="J1229" i="1"/>
  <c r="J1227" i="1"/>
  <c r="J1228" i="1"/>
  <c r="J1224" i="1"/>
  <c r="J1226" i="1"/>
  <c r="J1225" i="1"/>
  <c r="J1223" i="1"/>
  <c r="J1222" i="1"/>
  <c r="J1221" i="1"/>
  <c r="J1219" i="1"/>
  <c r="J1218" i="1"/>
  <c r="J1217" i="1"/>
  <c r="J1216" i="1"/>
  <c r="J1215" i="1"/>
  <c r="J1214" i="1"/>
  <c r="J1212" i="1"/>
  <c r="J1211" i="1"/>
  <c r="J1210" i="1"/>
  <c r="J1209" i="1"/>
  <c r="J1208" i="1"/>
  <c r="J1207" i="1"/>
  <c r="J1203" i="1"/>
  <c r="J1197" i="1"/>
  <c r="J1196" i="1"/>
  <c r="J1202" i="1"/>
  <c r="J1195" i="1"/>
  <c r="J1201" i="1"/>
  <c r="J1200" i="1"/>
  <c r="J1199" i="1"/>
  <c r="J1198" i="1"/>
  <c r="J1194" i="1"/>
  <c r="I1253" i="1"/>
  <c r="I1243" i="1"/>
  <c r="I1242" i="1"/>
  <c r="I1238" i="1"/>
  <c r="I1237" i="1"/>
  <c r="I1239" i="1"/>
  <c r="I1234" i="1"/>
  <c r="I1232" i="1"/>
  <c r="I1229" i="1"/>
  <c r="I1228" i="1"/>
  <c r="I1223" i="1"/>
  <c r="I1219" i="1"/>
  <c r="I1218" i="1"/>
  <c r="I1216" i="1"/>
  <c r="I1212" i="1"/>
  <c r="I1210" i="1"/>
  <c r="I1197" i="1"/>
  <c r="I1196" i="1"/>
  <c r="I1195" i="1"/>
  <c r="I1194" i="1"/>
  <c r="H1253" i="1"/>
  <c r="H1268" i="1"/>
  <c r="H1267" i="1"/>
  <c r="H1263" i="1"/>
  <c r="H1261" i="1"/>
  <c r="H1258" i="1"/>
  <c r="H1257" i="1"/>
  <c r="H1256" i="1"/>
  <c r="H1255" i="1"/>
  <c r="H1248" i="1"/>
  <c r="H1247" i="1"/>
  <c r="H1249" i="1"/>
  <c r="H1245" i="1"/>
  <c r="H1244" i="1"/>
  <c r="H1243" i="1"/>
  <c r="H1242" i="1"/>
  <c r="H1238" i="1"/>
  <c r="H1237" i="1"/>
  <c r="H1239" i="1"/>
  <c r="H1236" i="1"/>
  <c r="H1234" i="1"/>
  <c r="H1232" i="1"/>
  <c r="H1231" i="1"/>
  <c r="H1230" i="1"/>
  <c r="H1229" i="1"/>
  <c r="H1227" i="1"/>
  <c r="H1228" i="1"/>
  <c r="H1224" i="1"/>
  <c r="H1226" i="1"/>
  <c r="H1225" i="1"/>
  <c r="H1223" i="1"/>
  <c r="H1222" i="1"/>
  <c r="H1221" i="1"/>
  <c r="H1219" i="1"/>
  <c r="H1218" i="1"/>
  <c r="H1217" i="1"/>
  <c r="H1216" i="1"/>
  <c r="H1215" i="1"/>
  <c r="H1214" i="1"/>
  <c r="H1212" i="1"/>
  <c r="H1211" i="1"/>
  <c r="H1210" i="1"/>
  <c r="H1209" i="1"/>
  <c r="H1208" i="1"/>
  <c r="H1207" i="1"/>
  <c r="H1203" i="1"/>
  <c r="H1197" i="1"/>
  <c r="H1196" i="1"/>
  <c r="H1202" i="1"/>
  <c r="H1195" i="1"/>
  <c r="H1201" i="1"/>
  <c r="H1200" i="1"/>
  <c r="H1199" i="1"/>
  <c r="H1198" i="1"/>
  <c r="H1194" i="1"/>
  <c r="G1261" i="1"/>
  <c r="G1258" i="1"/>
  <c r="G1257" i="1"/>
  <c r="G1256" i="1"/>
  <c r="G1255" i="1"/>
  <c r="G1253" i="1"/>
  <c r="G1251" i="1"/>
  <c r="G1245" i="1"/>
  <c r="G1244" i="1"/>
  <c r="G1243" i="1"/>
  <c r="G1242" i="1"/>
  <c r="G1238" i="1"/>
  <c r="G1237" i="1"/>
  <c r="G1239" i="1"/>
  <c r="G1234" i="1"/>
  <c r="G1232" i="1"/>
  <c r="G1231" i="1"/>
  <c r="G1230" i="1"/>
  <c r="G1229" i="1"/>
  <c r="G1227" i="1"/>
  <c r="G1228" i="1"/>
  <c r="G1224" i="1"/>
  <c r="G1226" i="1"/>
  <c r="G1225" i="1"/>
  <c r="G1223" i="1"/>
  <c r="G1222" i="1"/>
  <c r="G1221" i="1"/>
  <c r="G1219" i="1"/>
  <c r="G1218" i="1"/>
  <c r="G1217" i="1"/>
  <c r="G1216" i="1"/>
  <c r="G1215" i="1"/>
  <c r="G1214" i="1"/>
  <c r="G1212" i="1"/>
  <c r="G1211" i="1"/>
  <c r="G1210" i="1"/>
  <c r="G1209" i="1"/>
  <c r="G1208" i="1"/>
  <c r="G1207" i="1"/>
  <c r="G1203" i="1"/>
  <c r="G1197" i="1"/>
  <c r="G1196" i="1"/>
  <c r="G1202" i="1"/>
  <c r="G1195" i="1"/>
  <c r="G1201" i="1"/>
  <c r="G1200" i="1"/>
  <c r="G1199" i="1"/>
  <c r="G1198" i="1"/>
  <c r="G1194" i="1"/>
  <c r="F1268" i="1"/>
  <c r="F1267" i="1"/>
  <c r="F1266" i="1"/>
  <c r="F1265" i="1"/>
  <c r="F1263" i="1"/>
  <c r="F1261" i="1"/>
  <c r="F1259" i="1"/>
  <c r="F1260" i="1"/>
  <c r="F1258" i="1"/>
  <c r="F1257" i="1"/>
  <c r="F1256" i="1"/>
  <c r="F1255" i="1"/>
  <c r="F1254" i="1"/>
  <c r="F1250" i="1"/>
  <c r="F1253" i="1"/>
  <c r="F1251" i="1"/>
  <c r="F1248" i="1"/>
  <c r="F1247" i="1"/>
  <c r="F1249" i="1"/>
  <c r="F1246" i="1"/>
  <c r="F1245" i="1"/>
  <c r="F1243" i="1"/>
  <c r="F1242" i="1"/>
  <c r="F1238" i="1"/>
  <c r="F1237" i="1"/>
  <c r="F1239" i="1"/>
  <c r="F1236" i="1"/>
  <c r="F1234" i="1"/>
  <c r="F1232" i="1"/>
  <c r="F1231" i="1"/>
  <c r="F1230" i="1"/>
  <c r="F1229" i="1"/>
  <c r="F1227" i="1"/>
  <c r="F1228" i="1"/>
  <c r="F1224" i="1"/>
  <c r="F1226" i="1"/>
  <c r="F1225" i="1"/>
  <c r="F1223" i="1"/>
  <c r="F1222" i="1"/>
  <c r="F1221" i="1"/>
  <c r="F1219" i="1"/>
  <c r="F1218" i="1"/>
  <c r="F1217" i="1"/>
  <c r="F1216" i="1"/>
  <c r="F1215" i="1"/>
  <c r="F1214" i="1"/>
  <c r="F1212" i="1"/>
  <c r="F1211" i="1"/>
  <c r="F1210" i="1"/>
  <c r="F1209" i="1"/>
  <c r="F1208" i="1"/>
  <c r="F1207" i="1"/>
  <c r="F1203" i="1"/>
  <c r="F1197" i="1"/>
  <c r="F1196" i="1"/>
  <c r="F1202" i="1"/>
  <c r="F1195" i="1"/>
  <c r="F1201" i="1"/>
  <c r="F1200" i="1"/>
  <c r="F1199" i="1"/>
  <c r="F1198" i="1"/>
  <c r="F1194" i="1"/>
  <c r="I1193" i="1" l="1"/>
  <c r="F1193" i="1"/>
  <c r="G1193" i="1"/>
  <c r="H1193" i="1"/>
  <c r="J1193" i="1"/>
  <c r="J1192" i="1"/>
  <c r="H1192" i="1"/>
  <c r="G1192" i="1"/>
  <c r="F1192" i="1"/>
  <c r="O1190" i="1"/>
  <c r="O1189" i="1"/>
  <c r="J1190" i="1"/>
  <c r="J1189" i="1"/>
  <c r="J1188" i="1"/>
  <c r="H1190" i="1"/>
  <c r="H1189" i="1"/>
  <c r="H1188" i="1"/>
  <c r="G1190" i="1"/>
  <c r="G1189" i="1"/>
  <c r="G1188" i="1"/>
  <c r="F1190" i="1"/>
  <c r="F1189" i="1"/>
  <c r="F1188" i="1"/>
  <c r="F1187" i="1" s="1"/>
  <c r="G1187" i="1" l="1"/>
  <c r="H1187" i="1"/>
  <c r="J1187" i="1"/>
  <c r="O1187" i="1"/>
  <c r="S1782" i="1"/>
  <c r="S1781" i="1"/>
  <c r="S1767" i="1"/>
  <c r="S1768" i="1"/>
  <c r="S1765" i="1"/>
  <c r="S1745" i="1"/>
  <c r="S1737" i="1"/>
  <c r="S1739" i="1"/>
  <c r="S1706" i="1"/>
  <c r="S1681" i="1"/>
  <c r="S1679" i="1"/>
  <c r="S1674" i="1"/>
  <c r="S1672" i="1"/>
  <c r="S1660" i="1"/>
  <c r="S1650" i="1"/>
  <c r="S1659" i="1"/>
  <c r="S1657" i="1"/>
  <c r="S1645" i="1"/>
  <c r="S1641" i="1"/>
  <c r="S1637" i="1"/>
  <c r="S1636" i="1"/>
  <c r="S1635" i="1"/>
  <c r="S1630" i="1"/>
  <c r="S1618" i="1"/>
  <c r="S1617" i="1"/>
  <c r="S1612" i="1"/>
  <c r="S1611" i="1"/>
  <c r="S1599" i="1"/>
  <c r="S1587" i="1"/>
  <c r="S1582" i="1"/>
  <c r="S1579" i="1"/>
  <c r="S1578" i="1"/>
  <c r="S1575" i="1"/>
  <c r="S1572" i="1"/>
  <c r="S1561" i="1"/>
  <c r="S1555" i="1"/>
  <c r="S1550" i="1"/>
  <c r="S1549" i="1"/>
  <c r="S1537" i="1"/>
  <c r="S1534" i="1"/>
  <c r="S1528" i="1"/>
  <c r="S1526" i="1"/>
  <c r="S1789" i="1"/>
  <c r="S1788" i="1"/>
  <c r="S1778" i="1"/>
  <c r="S1775" i="1"/>
  <c r="S1774" i="1"/>
  <c r="S1772" i="1"/>
  <c r="S1762" i="1"/>
  <c r="S1748" i="1"/>
  <c r="S1736" i="1"/>
  <c r="S1742" i="1"/>
  <c r="S1740" i="1"/>
  <c r="S1738" i="1"/>
  <c r="S1731" i="1"/>
  <c r="S1718" i="1"/>
  <c r="S1716" i="1"/>
  <c r="S1714" i="1"/>
  <c r="S1710" i="1"/>
  <c r="S1705" i="1"/>
  <c r="S1689" i="1"/>
  <c r="S1695" i="1"/>
  <c r="S1692" i="1"/>
  <c r="S1690" i="1"/>
  <c r="S1673" i="1"/>
  <c r="S1671" i="1"/>
  <c r="S1670" i="1"/>
  <c r="S1658" i="1"/>
  <c r="S1656" i="1"/>
  <c r="S1642" i="1"/>
  <c r="S1631" i="1"/>
  <c r="S1620" i="1"/>
  <c r="S1608" i="1"/>
  <c r="S1607" i="1"/>
  <c r="S1600" i="1"/>
  <c r="S1594" i="1"/>
  <c r="S1588" i="1"/>
  <c r="S1581" i="1"/>
  <c r="S1574" i="1"/>
  <c r="S1570" i="1"/>
  <c r="S1557" i="1"/>
  <c r="S1556" i="1"/>
  <c r="S1541" i="1"/>
  <c r="S1538" i="1"/>
  <c r="S1536" i="1"/>
  <c r="S1533" i="1"/>
  <c r="S1532" i="1"/>
  <c r="S1531" i="1"/>
  <c r="S1530" i="1"/>
  <c r="S1527" i="1"/>
  <c r="S1525" i="1"/>
  <c r="S1524" i="1"/>
  <c r="S1529" i="1"/>
  <c r="Q1789" i="1"/>
  <c r="Q1788" i="1"/>
  <c r="Q1782" i="1"/>
  <c r="Q1781" i="1"/>
  <c r="Q1778" i="1"/>
  <c r="Q1775" i="1"/>
  <c r="Q1774" i="1"/>
  <c r="Q1772" i="1"/>
  <c r="Q1767" i="1"/>
  <c r="Q1768" i="1"/>
  <c r="Q1765" i="1"/>
  <c r="Q1762" i="1"/>
  <c r="Q1748" i="1"/>
  <c r="Q1745" i="1"/>
  <c r="Q1737" i="1"/>
  <c r="Q1736" i="1"/>
  <c r="Q1742" i="1"/>
  <c r="Q1740" i="1"/>
  <c r="Q1739" i="1"/>
  <c r="Q1738" i="1"/>
  <c r="Q1731" i="1"/>
  <c r="Q1718" i="1"/>
  <c r="Q1716" i="1"/>
  <c r="Q1714" i="1"/>
  <c r="Q1710" i="1"/>
  <c r="Q1706" i="1"/>
  <c r="Q1705" i="1"/>
  <c r="Q1689" i="1"/>
  <c r="Q1695" i="1"/>
  <c r="Q1692" i="1"/>
  <c r="Q1690" i="1"/>
  <c r="Q1681" i="1"/>
  <c r="Q1679" i="1"/>
  <c r="Q1674" i="1"/>
  <c r="Q1673" i="1"/>
  <c r="Q1672" i="1"/>
  <c r="Q1671" i="1"/>
  <c r="Q1670" i="1"/>
  <c r="Q1660" i="1"/>
  <c r="Q1650" i="1"/>
  <c r="Q1659" i="1"/>
  <c r="Q1658" i="1"/>
  <c r="Q1657" i="1"/>
  <c r="Q1656" i="1"/>
  <c r="Q1645" i="1"/>
  <c r="Q1642" i="1"/>
  <c r="Q1641" i="1"/>
  <c r="Q1637" i="1"/>
  <c r="Q1636" i="1"/>
  <c r="Q1635" i="1"/>
  <c r="Q1631" i="1"/>
  <c r="Q1630" i="1"/>
  <c r="Q1620" i="1"/>
  <c r="Q1618" i="1"/>
  <c r="Q1617" i="1"/>
  <c r="Q1612" i="1"/>
  <c r="Q1611" i="1"/>
  <c r="Q1608" i="1"/>
  <c r="Q1607" i="1"/>
  <c r="Q1600" i="1"/>
  <c r="Q1599" i="1"/>
  <c r="Q1594" i="1"/>
  <c r="Q1588" i="1"/>
  <c r="Q1587" i="1"/>
  <c r="Q1582" i="1"/>
  <c r="Q1581" i="1"/>
  <c r="Q1579" i="1"/>
  <c r="Q1578" i="1"/>
  <c r="Q1575" i="1"/>
  <c r="Q1574" i="1"/>
  <c r="Q1572" i="1"/>
  <c r="Q1570" i="1"/>
  <c r="Q1561" i="1"/>
  <c r="Q1557" i="1"/>
  <c r="Q1556" i="1"/>
  <c r="Q1555" i="1"/>
  <c r="Q1550" i="1"/>
  <c r="Q1549" i="1"/>
  <c r="Q1541" i="1"/>
  <c r="Q1538" i="1"/>
  <c r="Q1537" i="1"/>
  <c r="Q1536" i="1"/>
  <c r="Q1534" i="1"/>
  <c r="Q1533" i="1"/>
  <c r="Q1532" i="1"/>
  <c r="Q1531" i="1"/>
  <c r="Q1530" i="1"/>
  <c r="Q1528" i="1"/>
  <c r="Q1527" i="1"/>
  <c r="Q1526" i="1"/>
  <c r="Q1525" i="1"/>
  <c r="Q1524" i="1"/>
  <c r="Q1529" i="1"/>
  <c r="E1528" i="1"/>
  <c r="D1528" i="1" s="1"/>
  <c r="E1527" i="1"/>
  <c r="D1527" i="1" s="1"/>
  <c r="E1526" i="1"/>
  <c r="E1524" i="1"/>
  <c r="E1525" i="1"/>
  <c r="E1530" i="1"/>
  <c r="E1532" i="1"/>
  <c r="E1533" i="1"/>
  <c r="D1533" i="1" s="1"/>
  <c r="E1534" i="1"/>
  <c r="E1536" i="1"/>
  <c r="E1537" i="1"/>
  <c r="E1538" i="1"/>
  <c r="D1538" i="1" s="1"/>
  <c r="E1539" i="1"/>
  <c r="D1539" i="1" s="1"/>
  <c r="E1540" i="1"/>
  <c r="D1540" i="1" s="1"/>
  <c r="E1541" i="1"/>
  <c r="E1542" i="1"/>
  <c r="D1542" i="1" s="1"/>
  <c r="E1543" i="1"/>
  <c r="D1543" i="1" s="1"/>
  <c r="E1546" i="1"/>
  <c r="D1546" i="1" s="1"/>
  <c r="E1547" i="1"/>
  <c r="D1547" i="1" s="1"/>
  <c r="E1548" i="1"/>
  <c r="D1548" i="1" s="1"/>
  <c r="E1549" i="1"/>
  <c r="D1549" i="1" s="1"/>
  <c r="E1550" i="1"/>
  <c r="D1550" i="1" s="1"/>
  <c r="E1551" i="1"/>
  <c r="D1551" i="1" s="1"/>
  <c r="E1552" i="1"/>
  <c r="D1552" i="1" s="1"/>
  <c r="E1553" i="1"/>
  <c r="D1553" i="1" s="1"/>
  <c r="E1554" i="1"/>
  <c r="D1554" i="1" s="1"/>
  <c r="E1555" i="1"/>
  <c r="E1556" i="1"/>
  <c r="D1556" i="1" s="1"/>
  <c r="E1557" i="1"/>
  <c r="D1557" i="1" s="1"/>
  <c r="E1558" i="1"/>
  <c r="D1558" i="1" s="1"/>
  <c r="E1559" i="1"/>
  <c r="D1559" i="1" s="1"/>
  <c r="E1560" i="1"/>
  <c r="D1560" i="1" s="1"/>
  <c r="E1561" i="1"/>
  <c r="D1561" i="1" s="1"/>
  <c r="E1564" i="1"/>
  <c r="D1564" i="1" s="1"/>
  <c r="E1565" i="1"/>
  <c r="D1565" i="1" s="1"/>
  <c r="E1570" i="1"/>
  <c r="E1572" i="1"/>
  <c r="E1574" i="1"/>
  <c r="D1574" i="1" s="1"/>
  <c r="E472" i="1"/>
  <c r="D472" i="1" s="1"/>
  <c r="E473" i="1"/>
  <c r="D473" i="1" s="1"/>
  <c r="E1573" i="1"/>
  <c r="D1573" i="1" s="1"/>
  <c r="E1575" i="1"/>
  <c r="E1577" i="1"/>
  <c r="D1577" i="1" s="1"/>
  <c r="E1578" i="1"/>
  <c r="E1579" i="1"/>
  <c r="D1579" i="1" s="1"/>
  <c r="E1580" i="1"/>
  <c r="D1580" i="1" s="1"/>
  <c r="E1581" i="1"/>
  <c r="E1582" i="1"/>
  <c r="D1582" i="1" s="1"/>
  <c r="E1583" i="1"/>
  <c r="D1583" i="1" s="1"/>
  <c r="E1584" i="1"/>
  <c r="D1584" i="1" s="1"/>
  <c r="E1585" i="1"/>
  <c r="D1585" i="1" s="1"/>
  <c r="E1586" i="1"/>
  <c r="D1586" i="1" s="1"/>
  <c r="E2405" i="1"/>
  <c r="D2405" i="1" s="1"/>
  <c r="E1587" i="1"/>
  <c r="D1587" i="1" s="1"/>
  <c r="E2406" i="1"/>
  <c r="D2406" i="1" s="1"/>
  <c r="E2408" i="1"/>
  <c r="D2408" i="1" s="1"/>
  <c r="E1588" i="1"/>
  <c r="D1588" i="1" s="1"/>
  <c r="E1590" i="1"/>
  <c r="D1590" i="1" s="1"/>
  <c r="E2409" i="1"/>
  <c r="D2409" i="1" s="1"/>
  <c r="E1592" i="1"/>
  <c r="D1592" i="1" s="1"/>
  <c r="E1593" i="1"/>
  <c r="D1593" i="1" s="1"/>
  <c r="E1594" i="1"/>
  <c r="D1594" i="1" s="1"/>
  <c r="E1595" i="1"/>
  <c r="D1595" i="1" s="1"/>
  <c r="E1597" i="1"/>
  <c r="D1597" i="1" s="1"/>
  <c r="E1598" i="1"/>
  <c r="D1598" i="1" s="1"/>
  <c r="E2416" i="1"/>
  <c r="D2416" i="1" s="1"/>
  <c r="E1599" i="1"/>
  <c r="D1599" i="1" s="1"/>
  <c r="E1600" i="1"/>
  <c r="E1603" i="1"/>
  <c r="D1603" i="1" s="1"/>
  <c r="E1601" i="1"/>
  <c r="D1601" i="1" s="1"/>
  <c r="E1605" i="1"/>
  <c r="D1605" i="1" s="1"/>
  <c r="E1606" i="1"/>
  <c r="D1606" i="1" s="1"/>
  <c r="E2420" i="1"/>
  <c r="D2420" i="1" s="1"/>
  <c r="E1604" i="1"/>
  <c r="D1604" i="1" s="1"/>
  <c r="E1607" i="1"/>
  <c r="E1608" i="1"/>
  <c r="D1608" i="1" s="1"/>
  <c r="E1610" i="1"/>
  <c r="D1610" i="1" s="1"/>
  <c r="E1609" i="1"/>
  <c r="D1609" i="1" s="1"/>
  <c r="E1611" i="1"/>
  <c r="E1612" i="1"/>
  <c r="D1612" i="1" s="1"/>
  <c r="E1613" i="1"/>
  <c r="D1613" i="1" s="1"/>
  <c r="E2421" i="1"/>
  <c r="D2421" i="1" s="1"/>
  <c r="E1614" i="1"/>
  <c r="D1614" i="1" s="1"/>
  <c r="E1615" i="1"/>
  <c r="D1615" i="1" s="1"/>
  <c r="E1616" i="1"/>
  <c r="D1616" i="1" s="1"/>
  <c r="E2427" i="1"/>
  <c r="D2427" i="1" s="1"/>
  <c r="E569" i="1"/>
  <c r="D569" i="1" s="1"/>
  <c r="E570" i="1"/>
  <c r="D570" i="1" s="1"/>
  <c r="E1617" i="1"/>
  <c r="D1617" i="1" s="1"/>
  <c r="E572" i="1"/>
  <c r="D572" i="1" s="1"/>
  <c r="E573" i="1"/>
  <c r="D573" i="1" s="1"/>
  <c r="E1618" i="1"/>
  <c r="E574" i="1"/>
  <c r="D574" i="1" s="1"/>
  <c r="E576" i="1"/>
  <c r="D576" i="1" s="1"/>
  <c r="E2429" i="1"/>
  <c r="D2429" i="1" s="1"/>
  <c r="E1619" i="1"/>
  <c r="D1619" i="1" s="1"/>
  <c r="E1620" i="1"/>
  <c r="D1620" i="1" s="1"/>
  <c r="E1621" i="1"/>
  <c r="D1621" i="1" s="1"/>
  <c r="E585" i="1"/>
  <c r="D585" i="1" s="1"/>
  <c r="E1622" i="1"/>
  <c r="D1622" i="1" s="1"/>
  <c r="E2439" i="1"/>
  <c r="D2439" i="1" s="1"/>
  <c r="E1623" i="1"/>
  <c r="D1623" i="1" s="1"/>
  <c r="E1625" i="1"/>
  <c r="D1625" i="1" s="1"/>
  <c r="E1626" i="1"/>
  <c r="D1626" i="1" s="1"/>
  <c r="E1628" i="1"/>
  <c r="D1628" i="1" s="1"/>
  <c r="E1627" i="1"/>
  <c r="D1627" i="1" s="1"/>
  <c r="E1629" i="1"/>
  <c r="D1629" i="1" s="1"/>
  <c r="E2450" i="1"/>
  <c r="D2450" i="1" s="1"/>
  <c r="E1630" i="1"/>
  <c r="D1630" i="1" s="1"/>
  <c r="E1631" i="1"/>
  <c r="D1631" i="1" s="1"/>
  <c r="E2452" i="1"/>
  <c r="D2452" i="1" s="1"/>
  <c r="E2453" i="1"/>
  <c r="D2453" i="1" s="1"/>
  <c r="E1632" i="1"/>
  <c r="D1632" i="1" s="1"/>
  <c r="E1633" i="1"/>
  <c r="D1633" i="1" s="1"/>
  <c r="E1634" i="1"/>
  <c r="D1634" i="1" s="1"/>
  <c r="E1635" i="1"/>
  <c r="D1635" i="1" s="1"/>
  <c r="E1636" i="1"/>
  <c r="D1636" i="1" s="1"/>
  <c r="E2457" i="1"/>
  <c r="D2457" i="1" s="1"/>
  <c r="E2458" i="1"/>
  <c r="D2458" i="1" s="1"/>
  <c r="E1637" i="1"/>
  <c r="E1638" i="1"/>
  <c r="D1638" i="1" s="1"/>
  <c r="E1639" i="1"/>
  <c r="D1639" i="1" s="1"/>
  <c r="E1640" i="1"/>
  <c r="D1640" i="1" s="1"/>
  <c r="E1641" i="1"/>
  <c r="E1642" i="1"/>
  <c r="D1642" i="1" s="1"/>
  <c r="E1644" i="1"/>
  <c r="D1644" i="1" s="1"/>
  <c r="E1645" i="1"/>
  <c r="D1645" i="1" s="1"/>
  <c r="E1646" i="1"/>
  <c r="D1646" i="1" s="1"/>
  <c r="E1647" i="1"/>
  <c r="D1647" i="1" s="1"/>
  <c r="E1648" i="1"/>
  <c r="D1648" i="1" s="1"/>
  <c r="E1649" i="1"/>
  <c r="D1649" i="1" s="1"/>
  <c r="E2470" i="1"/>
  <c r="D2470" i="1" s="1"/>
  <c r="E2471" i="1"/>
  <c r="D2471" i="1" s="1"/>
  <c r="E1651" i="1"/>
  <c r="D1651" i="1" s="1"/>
  <c r="E1652" i="1"/>
  <c r="D1652" i="1" s="1"/>
  <c r="E2472" i="1"/>
  <c r="D2472" i="1" s="1"/>
  <c r="E1653" i="1"/>
  <c r="D1653" i="1" s="1"/>
  <c r="E1654" i="1"/>
  <c r="D1654" i="1" s="1"/>
  <c r="E1655" i="1"/>
  <c r="D1655" i="1" s="1"/>
  <c r="E1656" i="1"/>
  <c r="D1656" i="1" s="1"/>
  <c r="E1657" i="1"/>
  <c r="D1657" i="1" s="1"/>
  <c r="E2473" i="1"/>
  <c r="D2473" i="1" s="1"/>
  <c r="E1658" i="1"/>
  <c r="E1659" i="1"/>
  <c r="D1659" i="1" s="1"/>
  <c r="E2474" i="1"/>
  <c r="D2474" i="1" s="1"/>
  <c r="E2475" i="1"/>
  <c r="D2475" i="1" s="1"/>
  <c r="E1650" i="1"/>
  <c r="E1660" i="1"/>
  <c r="D1660" i="1" s="1"/>
  <c r="E2476" i="1"/>
  <c r="D2476" i="1" s="1"/>
  <c r="E1661" i="1"/>
  <c r="D1661" i="1" s="1"/>
  <c r="E1662" i="1"/>
  <c r="D1662" i="1" s="1"/>
  <c r="E1663" i="1"/>
  <c r="D1663" i="1" s="1"/>
  <c r="E1664" i="1"/>
  <c r="D1664" i="1" s="1"/>
  <c r="E1670" i="1"/>
  <c r="D1670" i="1" s="1"/>
  <c r="E1671" i="1"/>
  <c r="D1671" i="1" s="1"/>
  <c r="E1672" i="1"/>
  <c r="D1672" i="1" s="1"/>
  <c r="E1673" i="1"/>
  <c r="E1674" i="1"/>
  <c r="D1674" i="1" s="1"/>
  <c r="E1675" i="1"/>
  <c r="D1675" i="1" s="1"/>
  <c r="E1676" i="1"/>
  <c r="D1676" i="1" s="1"/>
  <c r="E1677" i="1"/>
  <c r="D1677" i="1" s="1"/>
  <c r="E1678" i="1"/>
  <c r="D1678" i="1" s="1"/>
  <c r="E1679" i="1"/>
  <c r="D1679" i="1" s="1"/>
  <c r="E1680" i="1"/>
  <c r="D1680" i="1" s="1"/>
  <c r="E1681" i="1"/>
  <c r="D1681" i="1" s="1"/>
  <c r="E1682" i="1"/>
  <c r="D1682" i="1" s="1"/>
  <c r="E1683" i="1"/>
  <c r="D1683" i="1" s="1"/>
  <c r="E1684" i="1"/>
  <c r="D1684" i="1" s="1"/>
  <c r="E1687" i="1"/>
  <c r="D1687" i="1" s="1"/>
  <c r="E2510" i="1"/>
  <c r="D2510" i="1" s="1"/>
  <c r="E1690" i="1"/>
  <c r="D1690" i="1" s="1"/>
  <c r="E1692" i="1"/>
  <c r="D1692" i="1" s="1"/>
  <c r="E2513" i="1"/>
  <c r="D2513" i="1" s="1"/>
  <c r="E1693" i="1"/>
  <c r="D1693" i="1" s="1"/>
  <c r="E1694" i="1"/>
  <c r="D1694" i="1" s="1"/>
  <c r="E2515" i="1"/>
  <c r="D2515" i="1" s="1"/>
  <c r="E1695" i="1"/>
  <c r="D1695" i="1" s="1"/>
  <c r="E1696" i="1"/>
  <c r="D1696" i="1" s="1"/>
  <c r="E1697" i="1"/>
  <c r="D1697" i="1" s="1"/>
  <c r="E1698" i="1"/>
  <c r="D1698" i="1" s="1"/>
  <c r="E1699" i="1"/>
  <c r="D1699" i="1" s="1"/>
  <c r="E2517" i="1"/>
  <c r="D2517" i="1" s="1"/>
  <c r="E1700" i="1"/>
  <c r="D1700" i="1" s="1"/>
  <c r="E1689" i="1"/>
  <c r="D1689" i="1" s="1"/>
  <c r="E1701" i="1"/>
  <c r="D1701" i="1" s="1"/>
  <c r="E2519" i="1"/>
  <c r="D2519" i="1" s="1"/>
  <c r="E2520" i="1"/>
  <c r="D2520" i="1" s="1"/>
  <c r="E1702" i="1"/>
  <c r="D1702" i="1" s="1"/>
  <c r="E1705" i="1"/>
  <c r="D1705" i="1" s="1"/>
  <c r="E1706" i="1"/>
  <c r="D1706" i="1" s="1"/>
  <c r="E1707" i="1"/>
  <c r="D1707" i="1" s="1"/>
  <c r="E2522" i="1"/>
  <c r="D2522" i="1" s="1"/>
  <c r="E1708" i="1"/>
  <c r="D1708" i="1" s="1"/>
  <c r="E1709" i="1"/>
  <c r="D1709" i="1" s="1"/>
  <c r="E1710" i="1"/>
  <c r="D1710" i="1" s="1"/>
  <c r="E1711" i="1"/>
  <c r="D1711" i="1" s="1"/>
  <c r="E2530" i="1"/>
  <c r="D2530" i="1" s="1"/>
  <c r="E1712" i="1"/>
  <c r="D1712" i="1" s="1"/>
  <c r="E1714" i="1"/>
  <c r="D1714" i="1" s="1"/>
  <c r="E1716" i="1"/>
  <c r="E1718" i="1"/>
  <c r="D1718" i="1" s="1"/>
  <c r="E1719" i="1"/>
  <c r="D1719" i="1" s="1"/>
  <c r="E1720" i="1"/>
  <c r="D1720" i="1" s="1"/>
  <c r="E1717" i="1"/>
  <c r="D1717" i="1" s="1"/>
  <c r="E1721" i="1"/>
  <c r="D1721" i="1" s="1"/>
  <c r="E1727" i="1"/>
  <c r="D1727" i="1" s="1"/>
  <c r="E1728" i="1"/>
  <c r="D1728" i="1" s="1"/>
  <c r="E1729" i="1"/>
  <c r="D1729" i="1" s="1"/>
  <c r="E1730" i="1"/>
  <c r="D1730" i="1" s="1"/>
  <c r="E2547" i="1"/>
  <c r="D2547" i="1" s="1"/>
  <c r="E1731" i="1"/>
  <c r="D1731" i="1" s="1"/>
  <c r="E2548" i="1"/>
  <c r="D2548" i="1" s="1"/>
  <c r="E2549" i="1"/>
  <c r="D2549" i="1" s="1"/>
  <c r="E1723" i="1"/>
  <c r="D1723" i="1" s="1"/>
  <c r="E1724" i="1"/>
  <c r="D1724" i="1" s="1"/>
  <c r="E1725" i="1"/>
  <c r="D1725" i="1" s="1"/>
  <c r="E1726" i="1"/>
  <c r="D1726" i="1" s="1"/>
  <c r="E1734" i="1"/>
  <c r="D1734" i="1" s="1"/>
  <c r="E1738" i="1"/>
  <c r="D1738" i="1" s="1"/>
  <c r="E1739" i="1"/>
  <c r="E1740" i="1"/>
  <c r="D1740" i="1" s="1"/>
  <c r="E1741" i="1"/>
  <c r="D1741" i="1" s="1"/>
  <c r="E1742" i="1"/>
  <c r="D1742" i="1" s="1"/>
  <c r="E1735" i="1"/>
  <c r="D1735" i="1" s="1"/>
  <c r="E1736" i="1"/>
  <c r="D1736" i="1" s="1"/>
  <c r="E1737" i="1"/>
  <c r="D1737" i="1" s="1"/>
  <c r="E1743" i="1"/>
  <c r="D1743" i="1" s="1"/>
  <c r="E1744" i="1"/>
  <c r="D1744" i="1" s="1"/>
  <c r="E1745" i="1"/>
  <c r="D1745" i="1" s="1"/>
  <c r="E1746" i="1"/>
  <c r="D1746" i="1" s="1"/>
  <c r="E1750" i="1"/>
  <c r="D1750" i="1" s="1"/>
  <c r="E1751" i="1"/>
  <c r="D1751" i="1" s="1"/>
  <c r="E1752" i="1"/>
  <c r="D1752" i="1" s="1"/>
  <c r="E836" i="1"/>
  <c r="D836" i="1" s="1"/>
  <c r="E1747" i="1"/>
  <c r="D1747" i="1" s="1"/>
  <c r="E837" i="1"/>
  <c r="D837" i="1" s="1"/>
  <c r="E1748" i="1"/>
  <c r="D1748" i="1" s="1"/>
  <c r="E1749" i="1"/>
  <c r="D1749" i="1" s="1"/>
  <c r="E1756" i="1"/>
  <c r="D1756" i="1" s="1"/>
  <c r="E1757" i="1"/>
  <c r="D1757" i="1" s="1"/>
  <c r="E868" i="1"/>
  <c r="D868" i="1" s="1"/>
  <c r="E1758" i="1"/>
  <c r="D1758" i="1" s="1"/>
  <c r="E1759" i="1"/>
  <c r="D1759" i="1" s="1"/>
  <c r="E1762" i="1"/>
  <c r="D1762" i="1" s="1"/>
  <c r="E1763" i="1"/>
  <c r="D1763" i="1" s="1"/>
  <c r="E1760" i="1"/>
  <c r="D1760" i="1" s="1"/>
  <c r="E2583" i="1"/>
  <c r="D2583" i="1" s="1"/>
  <c r="E1761" i="1"/>
  <c r="D1761" i="1" s="1"/>
  <c r="E1764" i="1"/>
  <c r="D1764" i="1" s="1"/>
  <c r="E2586" i="1"/>
  <c r="D2586" i="1" s="1"/>
  <c r="E1765" i="1"/>
  <c r="D1765" i="1" s="1"/>
  <c r="E1768" i="1"/>
  <c r="D1768" i="1" s="1"/>
  <c r="E895" i="1"/>
  <c r="D895" i="1" s="1"/>
  <c r="E1766" i="1"/>
  <c r="D1766" i="1" s="1"/>
  <c r="E1767" i="1"/>
  <c r="D1767" i="1" s="1"/>
  <c r="E911" i="1"/>
  <c r="D911" i="1" s="1"/>
  <c r="E1773" i="1"/>
  <c r="D1773" i="1" s="1"/>
  <c r="E1772" i="1"/>
  <c r="D1772" i="1" s="1"/>
  <c r="E916" i="1"/>
  <c r="D916" i="1" s="1"/>
  <c r="E1774" i="1"/>
  <c r="D1774" i="1" s="1"/>
  <c r="E2595" i="1"/>
  <c r="D2595" i="1" s="1"/>
  <c r="E936" i="1"/>
  <c r="D936" i="1" s="1"/>
  <c r="E1775" i="1"/>
  <c r="D1775" i="1" s="1"/>
  <c r="E1778" i="1"/>
  <c r="D1778" i="1" s="1"/>
  <c r="E1779" i="1"/>
  <c r="D1779" i="1" s="1"/>
  <c r="E1780" i="1"/>
  <c r="D1780" i="1" s="1"/>
  <c r="E2602" i="1"/>
  <c r="D2602" i="1" s="1"/>
  <c r="E2603" i="1"/>
  <c r="D2603" i="1" s="1"/>
  <c r="E2604" i="1"/>
  <c r="D2604" i="1" s="1"/>
  <c r="E1776" i="1"/>
  <c r="D1776" i="1" s="1"/>
  <c r="E1777" i="1"/>
  <c r="D1777" i="1" s="1"/>
  <c r="E962" i="1"/>
  <c r="D962" i="1" s="1"/>
  <c r="E1781" i="1"/>
  <c r="D1781" i="1" s="1"/>
  <c r="E974" i="1"/>
  <c r="D974" i="1" s="1"/>
  <c r="E1782" i="1"/>
  <c r="D1782" i="1" s="1"/>
  <c r="E1783" i="1"/>
  <c r="D1783" i="1" s="1"/>
  <c r="E1784" i="1"/>
  <c r="D1784" i="1" s="1"/>
  <c r="E1785" i="1"/>
  <c r="D1785" i="1" s="1"/>
  <c r="E1788" i="1"/>
  <c r="E1010" i="1"/>
  <c r="D1010" i="1" s="1"/>
  <c r="E2614" i="1"/>
  <c r="D2614" i="1" s="1"/>
  <c r="E1789" i="1"/>
  <c r="D1789" i="1" s="1"/>
  <c r="E1529" i="1"/>
  <c r="D1529" i="1" s="1"/>
  <c r="S1519" i="1"/>
  <c r="S1516" i="1"/>
  <c r="S1515" i="1"/>
  <c r="S1514" i="1"/>
  <c r="S1511" i="1"/>
  <c r="S1508" i="1"/>
  <c r="S1507" i="1"/>
  <c r="S1499" i="1"/>
  <c r="S1498" i="1"/>
  <c r="S1482" i="1"/>
  <c r="S1481" i="1"/>
  <c r="S1480" i="1"/>
  <c r="S1478" i="1"/>
  <c r="S1477" i="1"/>
  <c r="S1476" i="1"/>
  <c r="S1475" i="1"/>
  <c r="S1474" i="1"/>
  <c r="S1472" i="1"/>
  <c r="S1471" i="1"/>
  <c r="Q1519" i="1"/>
  <c r="Q1518" i="1"/>
  <c r="Q1517" i="1"/>
  <c r="Q1516" i="1"/>
  <c r="Q1515" i="1"/>
  <c r="Q1514" i="1"/>
  <c r="Q1513" i="1"/>
  <c r="Q1512" i="1"/>
  <c r="Q1511" i="1"/>
  <c r="Q1510" i="1"/>
  <c r="Q1509" i="1"/>
  <c r="Q1508" i="1"/>
  <c r="Q1507" i="1"/>
  <c r="Q1506" i="1"/>
  <c r="Q1505" i="1"/>
  <c r="Q1499" i="1"/>
  <c r="Q1500" i="1"/>
  <c r="Q1498" i="1"/>
  <c r="Q1497" i="1"/>
  <c r="Q1493" i="1"/>
  <c r="Q1492" i="1"/>
  <c r="Q1491" i="1"/>
  <c r="Q1490" i="1"/>
  <c r="Q1488" i="1"/>
  <c r="Q1487" i="1"/>
  <c r="Q1486" i="1"/>
  <c r="Q1489" i="1"/>
  <c r="Q1485" i="1"/>
  <c r="Q1484" i="1"/>
  <c r="Q1482" i="1"/>
  <c r="Q1481" i="1"/>
  <c r="Q1480" i="1"/>
  <c r="Q1479" i="1"/>
  <c r="Q1478" i="1"/>
  <c r="Q1477" i="1"/>
  <c r="Q1476" i="1"/>
  <c r="Q1475" i="1"/>
  <c r="Q1474" i="1"/>
  <c r="Q1472" i="1"/>
  <c r="Q1471" i="1"/>
  <c r="E1472" i="1"/>
  <c r="D1472" i="1" s="1"/>
  <c r="E1473" i="1"/>
  <c r="D1473" i="1" s="1"/>
  <c r="E1474" i="1"/>
  <c r="D1474" i="1" s="1"/>
  <c r="E1475" i="1"/>
  <c r="E1476" i="1"/>
  <c r="E1477" i="1"/>
  <c r="E1478" i="1"/>
  <c r="D1478" i="1" s="1"/>
  <c r="E1479" i="1"/>
  <c r="D1479" i="1" s="1"/>
  <c r="E1480" i="1"/>
  <c r="E1481" i="1"/>
  <c r="E1482" i="1"/>
  <c r="E1484" i="1"/>
  <c r="E1485" i="1"/>
  <c r="E1489" i="1"/>
  <c r="D1489" i="1" s="1"/>
  <c r="E1486" i="1"/>
  <c r="D1486" i="1" s="1"/>
  <c r="E1487" i="1"/>
  <c r="D1487" i="1" s="1"/>
  <c r="E1488" i="1"/>
  <c r="E1490" i="1"/>
  <c r="E1491" i="1"/>
  <c r="D1491" i="1" s="1"/>
  <c r="E1492" i="1"/>
  <c r="D1492" i="1" s="1"/>
  <c r="E1493" i="1"/>
  <c r="E1497" i="1"/>
  <c r="E1498" i="1"/>
  <c r="E1500" i="1"/>
  <c r="E1499" i="1"/>
  <c r="E1505" i="1"/>
  <c r="D1505" i="1" s="1"/>
  <c r="E1506" i="1"/>
  <c r="D1506" i="1" s="1"/>
  <c r="E1507" i="1"/>
  <c r="E1508" i="1"/>
  <c r="E1509" i="1"/>
  <c r="E1510" i="1"/>
  <c r="D1510" i="1" s="1"/>
  <c r="E1511" i="1"/>
  <c r="D1511" i="1" s="1"/>
  <c r="E1512" i="1"/>
  <c r="E1513" i="1"/>
  <c r="E1514" i="1"/>
  <c r="E1515" i="1"/>
  <c r="E1516" i="1"/>
  <c r="E1517" i="1"/>
  <c r="D1517" i="1" s="1"/>
  <c r="E1518" i="1"/>
  <c r="D1518" i="1" s="1"/>
  <c r="E1519" i="1"/>
  <c r="D1519" i="1" s="1"/>
  <c r="E1520" i="1"/>
  <c r="D1520" i="1" s="1"/>
  <c r="E1521" i="1"/>
  <c r="D1521" i="1" s="1"/>
  <c r="E1522" i="1"/>
  <c r="D1522" i="1" s="1"/>
  <c r="E1471" i="1"/>
  <c r="D1471" i="1" s="1"/>
  <c r="S1468" i="1"/>
  <c r="S1467" i="1"/>
  <c r="S1466" i="1"/>
  <c r="S1465" i="1"/>
  <c r="S1464" i="1"/>
  <c r="S1469" i="1"/>
  <c r="S1463" i="1"/>
  <c r="S1460" i="1"/>
  <c r="S1459" i="1"/>
  <c r="S1462" i="1"/>
  <c r="S1461" i="1"/>
  <c r="S1458" i="1"/>
  <c r="S1457" i="1"/>
  <c r="S1456" i="1"/>
  <c r="S1455" i="1"/>
  <c r="S1454" i="1"/>
  <c r="Q1440" i="1"/>
  <c r="Q1439" i="1"/>
  <c r="Q1438" i="1"/>
  <c r="Q1437" i="1"/>
  <c r="Q1436" i="1"/>
  <c r="Q1435" i="1"/>
  <c r="Q1434" i="1"/>
  <c r="Q1433" i="1"/>
  <c r="Q1432" i="1"/>
  <c r="Q1431" i="1"/>
  <c r="Q1430" i="1"/>
  <c r="Q1428" i="1"/>
  <c r="Q1427" i="1"/>
  <c r="Q1426" i="1"/>
  <c r="Q1425" i="1"/>
  <c r="Q1424" i="1"/>
  <c r="Q1423" i="1"/>
  <c r="Q1421" i="1"/>
  <c r="Q1420" i="1"/>
  <c r="Q1419" i="1"/>
  <c r="Q1418" i="1"/>
  <c r="Q1417" i="1"/>
  <c r="Q1416" i="1"/>
  <c r="Q1413" i="1"/>
  <c r="Q1415" i="1"/>
  <c r="Q1412" i="1"/>
  <c r="Q1411" i="1"/>
  <c r="Q1410" i="1"/>
  <c r="Q1409" i="1"/>
  <c r="Q1408" i="1"/>
  <c r="Q1407" i="1"/>
  <c r="S1452" i="1"/>
  <c r="S1451" i="1"/>
  <c r="S1453" i="1"/>
  <c r="S1450" i="1"/>
  <c r="S1449" i="1"/>
  <c r="S1448" i="1"/>
  <c r="S1442" i="1"/>
  <c r="S1445" i="1"/>
  <c r="S1446" i="1"/>
  <c r="S1447" i="1"/>
  <c r="S1443" i="1"/>
  <c r="Q1468" i="1"/>
  <c r="Q1467" i="1"/>
  <c r="Q1466" i="1"/>
  <c r="Q1465" i="1"/>
  <c r="Q1464" i="1"/>
  <c r="Q1469" i="1"/>
  <c r="Q1463" i="1"/>
  <c r="Q1460" i="1"/>
  <c r="Q1459" i="1"/>
  <c r="Q1462" i="1"/>
  <c r="Q1461" i="1"/>
  <c r="Q1458" i="1"/>
  <c r="Q1457" i="1"/>
  <c r="Q1456" i="1"/>
  <c r="Q1455" i="1"/>
  <c r="Q1454" i="1"/>
  <c r="Q1451" i="1"/>
  <c r="Q1453" i="1"/>
  <c r="Q1452" i="1"/>
  <c r="Q1450" i="1"/>
  <c r="Q1449" i="1"/>
  <c r="Q1448" i="1"/>
  <c r="Q1447" i="1"/>
  <c r="Q1446" i="1"/>
  <c r="Q1445" i="1"/>
  <c r="Q1442" i="1"/>
  <c r="Q1443" i="1"/>
  <c r="E1442" i="1"/>
  <c r="E1445" i="1"/>
  <c r="E1446" i="1"/>
  <c r="E1447" i="1"/>
  <c r="E1448" i="1"/>
  <c r="E1449" i="1"/>
  <c r="E1450" i="1"/>
  <c r="E1452" i="1"/>
  <c r="E1453" i="1"/>
  <c r="E1451" i="1"/>
  <c r="D1451" i="1" s="1"/>
  <c r="E1454" i="1"/>
  <c r="D1454" i="1" s="1"/>
  <c r="E1455" i="1"/>
  <c r="E1456" i="1"/>
  <c r="E1457" i="1"/>
  <c r="E1458" i="1"/>
  <c r="E1461" i="1"/>
  <c r="E1462" i="1"/>
  <c r="E1459" i="1"/>
  <c r="D1459" i="1" s="1"/>
  <c r="E1460" i="1"/>
  <c r="D1460" i="1" s="1"/>
  <c r="E1463" i="1"/>
  <c r="E1469" i="1"/>
  <c r="E1464" i="1"/>
  <c r="D1464" i="1" s="1"/>
  <c r="E1465" i="1"/>
  <c r="D1465" i="1" s="1"/>
  <c r="E1466" i="1"/>
  <c r="E1467" i="1"/>
  <c r="E1468" i="1"/>
  <c r="E1443" i="1"/>
  <c r="D1450" i="1" l="1"/>
  <c r="D1575" i="1"/>
  <c r="D1530" i="1"/>
  <c r="D1498" i="1"/>
  <c r="D1482" i="1"/>
  <c r="D1673" i="1"/>
  <c r="D1572" i="1"/>
  <c r="D1509" i="1"/>
  <c r="D1490" i="1"/>
  <c r="D1637" i="1"/>
  <c r="D1570" i="1"/>
  <c r="D1463" i="1"/>
  <c r="D1658" i="1"/>
  <c r="D1581" i="1"/>
  <c r="D1537" i="1"/>
  <c r="D1507" i="1"/>
  <c r="D1475" i="1"/>
  <c r="D1536" i="1"/>
  <c r="D1534" i="1"/>
  <c r="D1716" i="1"/>
  <c r="D1618" i="1"/>
  <c r="D1600" i="1"/>
  <c r="D1578" i="1"/>
  <c r="D1447" i="1"/>
  <c r="D1611" i="1"/>
  <c r="D1532" i="1"/>
  <c r="D1458" i="1"/>
  <c r="D1515" i="1"/>
  <c r="D1500" i="1"/>
  <c r="D1484" i="1"/>
  <c r="D1443" i="1"/>
  <c r="D1525" i="1"/>
  <c r="D1457" i="1"/>
  <c r="D1514" i="1"/>
  <c r="D1513" i="1"/>
  <c r="D1739" i="1"/>
  <c r="D1641" i="1"/>
  <c r="D1524" i="1"/>
  <c r="D1461" i="1"/>
  <c r="D1446" i="1"/>
  <c r="D1468" i="1"/>
  <c r="D1445" i="1"/>
  <c r="D1497" i="1"/>
  <c r="D1466" i="1"/>
  <c r="D1455" i="1"/>
  <c r="D1788" i="1"/>
  <c r="D1650" i="1"/>
  <c r="D1607" i="1"/>
  <c r="D1555" i="1"/>
  <c r="D1541" i="1"/>
  <c r="D1526" i="1"/>
  <c r="D1449" i="1"/>
  <c r="D1467" i="1"/>
  <c r="D1469" i="1"/>
  <c r="D1462" i="1"/>
  <c r="D1456" i="1"/>
  <c r="D1453" i="1"/>
  <c r="D1448" i="1"/>
  <c r="D1442" i="1"/>
  <c r="D1481" i="1"/>
  <c r="D1477" i="1"/>
  <c r="D1452" i="1"/>
  <c r="D1516" i="1"/>
  <c r="D1512" i="1"/>
  <c r="D1508" i="1"/>
  <c r="D1499" i="1"/>
  <c r="D1493" i="1"/>
  <c r="D1488" i="1"/>
  <c r="D1485" i="1"/>
  <c r="D1480" i="1"/>
  <c r="D1476" i="1"/>
  <c r="S1470" i="1"/>
  <c r="Q1441" i="1"/>
  <c r="S1523" i="1"/>
  <c r="Q1523" i="1"/>
  <c r="S1441" i="1"/>
  <c r="E1470" i="1"/>
  <c r="Q1470" i="1"/>
  <c r="E1441" i="1"/>
  <c r="D1470" i="1" l="1"/>
  <c r="D1441" i="1"/>
  <c r="S1440" i="1"/>
  <c r="S1437" i="1"/>
  <c r="S1436" i="1"/>
  <c r="S1434" i="1"/>
  <c r="S1433" i="1"/>
  <c r="S1431" i="1"/>
  <c r="S1428" i="1"/>
  <c r="S1423" i="1"/>
  <c r="S1421" i="1"/>
  <c r="S1420" i="1"/>
  <c r="S1419" i="1"/>
  <c r="S1418" i="1"/>
  <c r="S1417" i="1"/>
  <c r="S1416" i="1"/>
  <c r="S1412" i="1"/>
  <c r="S1411" i="1"/>
  <c r="S1410" i="1"/>
  <c r="S1409" i="1"/>
  <c r="S1408" i="1"/>
  <c r="S1407" i="1"/>
  <c r="S1403" i="1"/>
  <c r="S1402" i="1"/>
  <c r="S1401" i="1"/>
  <c r="S1400" i="1"/>
  <c r="Q1403" i="1"/>
  <c r="Q1402" i="1"/>
  <c r="Q1401" i="1"/>
  <c r="Q1400" i="1"/>
  <c r="Q1399" i="1"/>
  <c r="Q1398" i="1"/>
  <c r="Q1397" i="1"/>
  <c r="Q1396" i="1"/>
  <c r="Q1395" i="1"/>
  <c r="Q1394" i="1"/>
  <c r="Q1393" i="1"/>
  <c r="Q1392" i="1"/>
  <c r="Q1391" i="1"/>
  <c r="Q1390" i="1"/>
  <c r="Q1389" i="1"/>
  <c r="Q1388" i="1"/>
  <c r="S1439" i="1"/>
  <c r="S1438" i="1"/>
  <c r="S1435" i="1"/>
  <c r="S1432" i="1"/>
  <c r="S1425" i="1"/>
  <c r="S1424" i="1"/>
  <c r="E1407" i="1"/>
  <c r="E1408" i="1"/>
  <c r="E1409" i="1"/>
  <c r="E1410" i="1"/>
  <c r="E1411" i="1"/>
  <c r="D1411" i="1" s="1"/>
  <c r="E1412" i="1"/>
  <c r="D1412" i="1" s="1"/>
  <c r="E1414" i="1"/>
  <c r="E1415" i="1"/>
  <c r="E1413" i="1"/>
  <c r="E1416" i="1"/>
  <c r="D1416" i="1" s="1"/>
  <c r="E1417" i="1"/>
  <c r="D1417" i="1" s="1"/>
  <c r="E1418" i="1"/>
  <c r="D1418" i="1" s="1"/>
  <c r="E1419" i="1"/>
  <c r="D1419" i="1" s="1"/>
  <c r="E1420" i="1"/>
  <c r="E1421" i="1"/>
  <c r="E1423" i="1"/>
  <c r="E1424" i="1"/>
  <c r="E1425" i="1"/>
  <c r="E1426" i="1"/>
  <c r="E1427" i="1"/>
  <c r="E1428" i="1"/>
  <c r="D1428" i="1" s="1"/>
  <c r="E1430" i="1"/>
  <c r="E1431" i="1"/>
  <c r="D1431" i="1" s="1"/>
  <c r="E1432" i="1"/>
  <c r="D1432" i="1" s="1"/>
  <c r="E1433" i="1"/>
  <c r="E1434" i="1"/>
  <c r="E1435" i="1"/>
  <c r="E1436" i="1"/>
  <c r="D1436" i="1" s="1"/>
  <c r="E1437" i="1"/>
  <c r="D1437" i="1" s="1"/>
  <c r="E1438" i="1"/>
  <c r="D1438" i="1" s="1"/>
  <c r="E1439" i="1"/>
  <c r="D1439" i="1" s="1"/>
  <c r="E1440" i="1"/>
  <c r="D1440" i="1" s="1"/>
  <c r="S1399" i="1"/>
  <c r="S1397" i="1"/>
  <c r="S1398" i="1"/>
  <c r="S1396" i="1"/>
  <c r="S1395" i="1"/>
  <c r="S1394" i="1"/>
  <c r="S1393" i="1"/>
  <c r="S1392" i="1"/>
  <c r="S1391" i="1"/>
  <c r="S1390" i="1"/>
  <c r="S1389" i="1"/>
  <c r="S1388" i="1"/>
  <c r="S1387" i="1"/>
  <c r="Q1387" i="1"/>
  <c r="E1388" i="1"/>
  <c r="D1388" i="1" s="1"/>
  <c r="E1389" i="1"/>
  <c r="D1389" i="1" s="1"/>
  <c r="E1390" i="1"/>
  <c r="E1391" i="1"/>
  <c r="E1392" i="1"/>
  <c r="E1393" i="1"/>
  <c r="D1393" i="1" s="1"/>
  <c r="E1394" i="1"/>
  <c r="E1395" i="1"/>
  <c r="E1396" i="1"/>
  <c r="E1397" i="1"/>
  <c r="E1398" i="1"/>
  <c r="E1399" i="1"/>
  <c r="D1399" i="1" s="1"/>
  <c r="E1400" i="1"/>
  <c r="D1400" i="1" s="1"/>
  <c r="E1401" i="1"/>
  <c r="D1401" i="1" s="1"/>
  <c r="E1402" i="1"/>
  <c r="E1403" i="1"/>
  <c r="E1387" i="1"/>
  <c r="S1385" i="1"/>
  <c r="S1384" i="1" s="1"/>
  <c r="Q1385" i="1"/>
  <c r="Q1384" i="1" s="1"/>
  <c r="E1385" i="1"/>
  <c r="E1376" i="1"/>
  <c r="Q1376" i="1"/>
  <c r="S1376" i="1"/>
  <c r="E1378" i="1"/>
  <c r="Q1378" i="1"/>
  <c r="S1378" i="1"/>
  <c r="E1381" i="1"/>
  <c r="Q1381" i="1"/>
  <c r="S1381" i="1"/>
  <c r="E1382" i="1"/>
  <c r="Q1382" i="1"/>
  <c r="S1382" i="1"/>
  <c r="E1379" i="1"/>
  <c r="Q1379" i="1"/>
  <c r="S1379" i="1"/>
  <c r="E1380" i="1"/>
  <c r="Q1380" i="1"/>
  <c r="S1380" i="1"/>
  <c r="E1383" i="1"/>
  <c r="Q1383" i="1"/>
  <c r="S1383" i="1"/>
  <c r="S1375" i="1"/>
  <c r="Q1375" i="1"/>
  <c r="E1375" i="1"/>
  <c r="D1375" i="1" s="1"/>
  <c r="S1372" i="1"/>
  <c r="S1371" i="1"/>
  <c r="S1370" i="1"/>
  <c r="S1369" i="1"/>
  <c r="S1368" i="1"/>
  <c r="S1367" i="1"/>
  <c r="Q1373" i="1"/>
  <c r="Q1372" i="1"/>
  <c r="Q1371" i="1"/>
  <c r="Q1370" i="1"/>
  <c r="Q1369" i="1"/>
  <c r="Q1368" i="1"/>
  <c r="Q1367" i="1"/>
  <c r="E1368" i="1"/>
  <c r="E1369" i="1"/>
  <c r="E1370" i="1"/>
  <c r="D1370" i="1" s="1"/>
  <c r="E1371" i="1"/>
  <c r="D1371" i="1" s="1"/>
  <c r="E1372" i="1"/>
  <c r="E1373" i="1"/>
  <c r="D1373" i="1" s="1"/>
  <c r="E1367" i="1"/>
  <c r="E1365" i="1"/>
  <c r="D1365" i="1" s="1"/>
  <c r="E1364" i="1"/>
  <c r="Q1361" i="1"/>
  <c r="Q1360" i="1" s="1"/>
  <c r="E1361" i="1"/>
  <c r="D1394" i="1" l="1"/>
  <c r="D1434" i="1"/>
  <c r="D1398" i="1"/>
  <c r="D1397" i="1"/>
  <c r="D1396" i="1"/>
  <c r="D1380" i="1"/>
  <c r="D1395" i="1"/>
  <c r="D1425" i="1"/>
  <c r="D1424" i="1"/>
  <c r="D1423" i="1"/>
  <c r="D1410" i="1"/>
  <c r="D1387" i="1"/>
  <c r="D1392" i="1"/>
  <c r="D1435" i="1"/>
  <c r="D1421" i="1"/>
  <c r="D1409" i="1"/>
  <c r="D1378" i="1"/>
  <c r="D1403" i="1"/>
  <c r="D1391" i="1"/>
  <c r="D1420" i="1"/>
  <c r="D1408" i="1"/>
  <c r="D1367" i="1"/>
  <c r="D1402" i="1"/>
  <c r="D1390" i="1"/>
  <c r="D1433" i="1"/>
  <c r="D1407" i="1"/>
  <c r="E1363" i="1"/>
  <c r="D1364" i="1"/>
  <c r="D1363" i="1" s="1"/>
  <c r="D1372" i="1"/>
  <c r="D1368" i="1"/>
  <c r="D1382" i="1"/>
  <c r="D1379" i="1"/>
  <c r="D1376" i="1"/>
  <c r="E1384" i="1"/>
  <c r="D1385" i="1"/>
  <c r="D1384" i="1" s="1"/>
  <c r="E1360" i="1"/>
  <c r="D1361" i="1"/>
  <c r="D1360" i="1" s="1"/>
  <c r="D1369" i="1"/>
  <c r="D1383" i="1"/>
  <c r="D1381" i="1"/>
  <c r="Q1366" i="1"/>
  <c r="Q1386" i="1"/>
  <c r="E1374" i="1"/>
  <c r="S1386" i="1"/>
  <c r="Q1374" i="1"/>
  <c r="S1374" i="1"/>
  <c r="E1386" i="1"/>
  <c r="E1366" i="1"/>
  <c r="E1404" i="1"/>
  <c r="S1366" i="1"/>
  <c r="Q1358" i="1"/>
  <c r="Q1357" i="1"/>
  <c r="Q1353" i="1"/>
  <c r="Q1352" i="1"/>
  <c r="Q1355" i="1"/>
  <c r="Q1354" i="1"/>
  <c r="D1366" i="1" l="1"/>
  <c r="D1374" i="1"/>
  <c r="D1386" i="1"/>
  <c r="S1354" i="1"/>
  <c r="S1355" i="1"/>
  <c r="S1349" i="1"/>
  <c r="S1350" i="1"/>
  <c r="S1351" i="1"/>
  <c r="S1352" i="1"/>
  <c r="S1353" i="1"/>
  <c r="E1354" i="1"/>
  <c r="D1354" i="1" s="1"/>
  <c r="E1355" i="1"/>
  <c r="D1355" i="1" s="1"/>
  <c r="E1349" i="1"/>
  <c r="E1350" i="1"/>
  <c r="E1351" i="1"/>
  <c r="E1352" i="1"/>
  <c r="E1353" i="1"/>
  <c r="E1357" i="1"/>
  <c r="D1357" i="1" s="1"/>
  <c r="E1358" i="1"/>
  <c r="D1358" i="1" s="1"/>
  <c r="E1356" i="1"/>
  <c r="E1359" i="1"/>
  <c r="D1353" i="1" l="1"/>
  <c r="D1351" i="1"/>
  <c r="D1350" i="1"/>
  <c r="D1352" i="1"/>
  <c r="D1349" i="1"/>
  <c r="S1348" i="1"/>
  <c r="Q1348" i="1"/>
  <c r="E1348" i="1"/>
  <c r="E1347" i="1" l="1"/>
  <c r="D1348" i="1"/>
  <c r="Q1341" i="1"/>
  <c r="Q1340" i="1"/>
  <c r="Q1335" i="1"/>
  <c r="E1344" i="1"/>
  <c r="D1344" i="1" s="1"/>
  <c r="E1345" i="1"/>
  <c r="D1345" i="1" s="1"/>
  <c r="E1343" i="1"/>
  <c r="D1343" i="1" s="1"/>
  <c r="S1338" i="1"/>
  <c r="S1337" i="1"/>
  <c r="S1341" i="1"/>
  <c r="S1340" i="1"/>
  <c r="S1339" i="1"/>
  <c r="S1336" i="1"/>
  <c r="S1335" i="1"/>
  <c r="S1334" i="1"/>
  <c r="S1333" i="1"/>
  <c r="S1332" i="1"/>
  <c r="S1331" i="1"/>
  <c r="S1330" i="1"/>
  <c r="S1327" i="1"/>
  <c r="S1326" i="1"/>
  <c r="S1325" i="1"/>
  <c r="S1324" i="1"/>
  <c r="Q1330" i="1"/>
  <c r="Q1327" i="1"/>
  <c r="Q1326" i="1"/>
  <c r="Q1325" i="1"/>
  <c r="Q1324" i="1"/>
  <c r="Q1329" i="1"/>
  <c r="E1324" i="1"/>
  <c r="E1325" i="1"/>
  <c r="E1326" i="1"/>
  <c r="D1326" i="1" s="1"/>
  <c r="E1327" i="1"/>
  <c r="D1327" i="1" s="1"/>
  <c r="E1330" i="1"/>
  <c r="D1330" i="1" s="1"/>
  <c r="E1335" i="1"/>
  <c r="D1335" i="1" s="1"/>
  <c r="E1336" i="1"/>
  <c r="E1337" i="1"/>
  <c r="E1338" i="1"/>
  <c r="E1339" i="1"/>
  <c r="D1339" i="1" s="1"/>
  <c r="E1340" i="1"/>
  <c r="E1329" i="1"/>
  <c r="D1329" i="1" s="1"/>
  <c r="S1295" i="1"/>
  <c r="S1294" i="1"/>
  <c r="S1292" i="1"/>
  <c r="S1291" i="1"/>
  <c r="S1290" i="1"/>
  <c r="S1289" i="1"/>
  <c r="Q1295" i="1"/>
  <c r="Q1294" i="1"/>
  <c r="Q1292" i="1"/>
  <c r="Q1291" i="1"/>
  <c r="Q1290" i="1"/>
  <c r="Q1289" i="1"/>
  <c r="E1290" i="1"/>
  <c r="E1291" i="1"/>
  <c r="E1292" i="1"/>
  <c r="D1292" i="1" s="1"/>
  <c r="E1294" i="1"/>
  <c r="D1294" i="1" s="1"/>
  <c r="E1295" i="1"/>
  <c r="D1295" i="1" s="1"/>
  <c r="E1289" i="1"/>
  <c r="S1287" i="1"/>
  <c r="S1286" i="1"/>
  <c r="S1272" i="1"/>
  <c r="S1273" i="1"/>
  <c r="S1274" i="1"/>
  <c r="S1275" i="1"/>
  <c r="S1276" i="1"/>
  <c r="S1277" i="1"/>
  <c r="S1278" i="1"/>
  <c r="S1280" i="1"/>
  <c r="S1281" i="1"/>
  <c r="S1282" i="1"/>
  <c r="S1283" i="1"/>
  <c r="S1284" i="1"/>
  <c r="S1285" i="1"/>
  <c r="S1271" i="1"/>
  <c r="S1270" i="1"/>
  <c r="Q1272" i="1"/>
  <c r="Q1273" i="1"/>
  <c r="Q1274" i="1"/>
  <c r="Q1275" i="1"/>
  <c r="Q1276" i="1"/>
  <c r="Q1277" i="1"/>
  <c r="Q1278" i="1"/>
  <c r="Q1280" i="1"/>
  <c r="Q1281" i="1"/>
  <c r="Q1282" i="1"/>
  <c r="Q1283" i="1"/>
  <c r="Q1284" i="1"/>
  <c r="Q1285" i="1"/>
  <c r="Q1286" i="1"/>
  <c r="Q1287" i="1"/>
  <c r="Q1271" i="1"/>
  <c r="Q1270" i="1"/>
  <c r="E1272" i="1"/>
  <c r="D1272" i="1" s="1"/>
  <c r="E1273" i="1"/>
  <c r="D1273" i="1" s="1"/>
  <c r="E1274" i="1"/>
  <c r="E1275" i="1"/>
  <c r="E1276" i="1"/>
  <c r="E1277" i="1"/>
  <c r="E1278" i="1"/>
  <c r="E1280" i="1"/>
  <c r="E1281" i="1"/>
  <c r="E1282" i="1"/>
  <c r="E1283" i="1"/>
  <c r="D1283" i="1" s="1"/>
  <c r="E1284" i="1"/>
  <c r="D1284" i="1" s="1"/>
  <c r="E1285" i="1"/>
  <c r="D1285" i="1" s="1"/>
  <c r="E1286" i="1"/>
  <c r="D1286" i="1" s="1"/>
  <c r="E1287" i="1"/>
  <c r="E1271" i="1"/>
  <c r="E1270" i="1"/>
  <c r="S1209" i="1"/>
  <c r="S1207" i="1"/>
  <c r="S1217" i="1"/>
  <c r="S1229" i="1"/>
  <c r="S1227" i="1"/>
  <c r="S1228" i="1"/>
  <c r="S1234" i="1"/>
  <c r="S1244" i="1"/>
  <c r="S1245" i="1"/>
  <c r="S1250" i="1"/>
  <c r="S1268" i="1"/>
  <c r="S1267" i="1"/>
  <c r="S1266" i="1"/>
  <c r="S1265" i="1"/>
  <c r="S1264" i="1"/>
  <c r="S1263" i="1"/>
  <c r="S1262" i="1"/>
  <c r="S1261" i="1"/>
  <c r="S1259" i="1"/>
  <c r="S1260" i="1"/>
  <c r="S1258" i="1"/>
  <c r="S1257" i="1"/>
  <c r="S1256" i="1"/>
  <c r="S1255" i="1"/>
  <c r="S1254" i="1"/>
  <c r="S1253" i="1"/>
  <c r="S1252" i="1"/>
  <c r="S1251" i="1"/>
  <c r="S1248" i="1"/>
  <c r="S1247" i="1"/>
  <c r="S1249" i="1"/>
  <c r="S1246" i="1"/>
  <c r="S1243" i="1"/>
  <c r="S1242" i="1"/>
  <c r="S1238" i="1"/>
  <c r="S1237" i="1"/>
  <c r="S1239" i="1"/>
  <c r="S1236" i="1"/>
  <c r="S1232" i="1"/>
  <c r="S1231" i="1"/>
  <c r="S1230" i="1"/>
  <c r="S1224" i="1"/>
  <c r="S1226" i="1"/>
  <c r="S1225" i="1"/>
  <c r="S1223" i="1"/>
  <c r="S1222" i="1"/>
  <c r="S1221" i="1"/>
  <c r="S1213" i="1"/>
  <c r="S1219" i="1"/>
  <c r="S1218" i="1"/>
  <c r="S1216" i="1"/>
  <c r="S1215" i="1"/>
  <c r="S1214" i="1"/>
  <c r="S1212" i="1"/>
  <c r="S1211" i="1"/>
  <c r="S1210" i="1"/>
  <c r="S1208" i="1"/>
  <c r="S1205" i="1"/>
  <c r="S1203" i="1"/>
  <c r="S1197" i="1"/>
  <c r="S1196" i="1"/>
  <c r="S1202" i="1"/>
  <c r="S1195" i="1"/>
  <c r="S1201" i="1"/>
  <c r="S1200" i="1"/>
  <c r="S1199" i="1"/>
  <c r="S1198" i="1"/>
  <c r="S1194" i="1"/>
  <c r="Q1199" i="1"/>
  <c r="Q1200" i="1"/>
  <c r="Q1201" i="1"/>
  <c r="Q1195" i="1"/>
  <c r="Q1202" i="1"/>
  <c r="Q1196" i="1"/>
  <c r="Q1197" i="1"/>
  <c r="Q1203" i="1"/>
  <c r="Q1205" i="1"/>
  <c r="Q1207" i="1"/>
  <c r="Q1208" i="1"/>
  <c r="Q1209" i="1"/>
  <c r="Q1210" i="1"/>
  <c r="Q1211" i="1"/>
  <c r="Q1212" i="1"/>
  <c r="Q1214" i="1"/>
  <c r="Q1215" i="1"/>
  <c r="Q1216" i="1"/>
  <c r="Q1217" i="1"/>
  <c r="Q1218" i="1"/>
  <c r="Q1219" i="1"/>
  <c r="Q1213" i="1"/>
  <c r="Q1221" i="1"/>
  <c r="Q1222" i="1"/>
  <c r="Q1223" i="1"/>
  <c r="Q1225" i="1"/>
  <c r="Q1226" i="1"/>
  <c r="Q1224" i="1"/>
  <c r="Q1228" i="1"/>
  <c r="Q1227" i="1"/>
  <c r="Q1229" i="1"/>
  <c r="Q1230" i="1"/>
  <c r="Q1231" i="1"/>
  <c r="Q1232" i="1"/>
  <c r="Q1234" i="1"/>
  <c r="Q1236" i="1"/>
  <c r="Q1239" i="1"/>
  <c r="Q1237" i="1"/>
  <c r="Q1238" i="1"/>
  <c r="Q1242" i="1"/>
  <c r="Q1243" i="1"/>
  <c r="Q1244" i="1"/>
  <c r="Q1245" i="1"/>
  <c r="Q1246" i="1"/>
  <c r="Q1249" i="1"/>
  <c r="Q1247" i="1"/>
  <c r="Q1248" i="1"/>
  <c r="Q1251" i="1"/>
  <c r="Q1252" i="1"/>
  <c r="Q1253" i="1"/>
  <c r="Q1250" i="1"/>
  <c r="Q1254" i="1"/>
  <c r="Q1255" i="1"/>
  <c r="Q1256" i="1"/>
  <c r="Q1257" i="1"/>
  <c r="Q1258" i="1"/>
  <c r="Q1260" i="1"/>
  <c r="Q1259" i="1"/>
  <c r="Q1261" i="1"/>
  <c r="Q1262" i="1"/>
  <c r="Q1263" i="1"/>
  <c r="Q1264" i="1"/>
  <c r="Q1265" i="1"/>
  <c r="Q1266" i="1"/>
  <c r="Q1267" i="1"/>
  <c r="Q1268" i="1"/>
  <c r="Q1198" i="1"/>
  <c r="Q1194" i="1"/>
  <c r="E1198" i="1"/>
  <c r="D1198" i="1" s="1"/>
  <c r="E1199" i="1"/>
  <c r="E1200" i="1"/>
  <c r="D1200" i="1" s="1"/>
  <c r="E1201" i="1"/>
  <c r="D1201" i="1" s="1"/>
  <c r="E1195" i="1"/>
  <c r="D1195" i="1" s="1"/>
  <c r="E1202" i="1"/>
  <c r="E1196" i="1"/>
  <c r="E1197" i="1"/>
  <c r="E1203" i="1"/>
  <c r="E1205" i="1"/>
  <c r="E1207" i="1"/>
  <c r="E1208" i="1"/>
  <c r="E1209" i="1"/>
  <c r="E1210" i="1"/>
  <c r="E1211" i="1"/>
  <c r="D1211" i="1" s="1"/>
  <c r="E1212" i="1"/>
  <c r="D1212" i="1" s="1"/>
  <c r="E1214" i="1"/>
  <c r="D1214" i="1" s="1"/>
  <c r="E1215" i="1"/>
  <c r="E1216" i="1"/>
  <c r="E1217" i="1"/>
  <c r="E1218" i="1"/>
  <c r="D1218" i="1" s="1"/>
  <c r="E1219" i="1"/>
  <c r="E1213" i="1"/>
  <c r="E1221" i="1"/>
  <c r="E1222" i="1"/>
  <c r="E1223" i="1"/>
  <c r="E1225" i="1"/>
  <c r="D1225" i="1" s="1"/>
  <c r="E1226" i="1"/>
  <c r="D1226" i="1" s="1"/>
  <c r="E1224" i="1"/>
  <c r="D1224" i="1" s="1"/>
  <c r="E1228" i="1"/>
  <c r="E1227" i="1"/>
  <c r="E1229" i="1"/>
  <c r="E1230" i="1"/>
  <c r="E1231" i="1"/>
  <c r="E1232" i="1"/>
  <c r="E1234" i="1"/>
  <c r="E1236" i="1"/>
  <c r="E1239" i="1"/>
  <c r="E1237" i="1"/>
  <c r="D1237" i="1" s="1"/>
  <c r="E1238" i="1"/>
  <c r="D1238" i="1" s="1"/>
  <c r="E1242" i="1"/>
  <c r="D1242" i="1" s="1"/>
  <c r="E1243" i="1"/>
  <c r="E1244" i="1"/>
  <c r="E1245" i="1"/>
  <c r="E1246" i="1"/>
  <c r="E1249" i="1"/>
  <c r="E1247" i="1"/>
  <c r="E1248" i="1"/>
  <c r="E1251" i="1"/>
  <c r="E1252" i="1"/>
  <c r="E1253" i="1"/>
  <c r="D1253" i="1" s="1"/>
  <c r="E1250" i="1"/>
  <c r="D1250" i="1" s="1"/>
  <c r="E1254" i="1"/>
  <c r="D1254" i="1" s="1"/>
  <c r="E1255" i="1"/>
  <c r="E1256" i="1"/>
  <c r="E1257" i="1"/>
  <c r="E1258" i="1"/>
  <c r="E1260" i="1"/>
  <c r="E1259" i="1"/>
  <c r="E1261" i="1"/>
  <c r="E1262" i="1"/>
  <c r="E1263" i="1"/>
  <c r="E1264" i="1"/>
  <c r="D1264" i="1" s="1"/>
  <c r="E1265" i="1"/>
  <c r="D1265" i="1" s="1"/>
  <c r="E1266" i="1"/>
  <c r="D1266" i="1" s="1"/>
  <c r="E1267" i="1"/>
  <c r="E1268" i="1"/>
  <c r="E1194" i="1"/>
  <c r="S1189" i="1"/>
  <c r="S1190" i="1"/>
  <c r="S1191" i="1"/>
  <c r="S1192" i="1"/>
  <c r="S1188" i="1"/>
  <c r="Q1189" i="1"/>
  <c r="Q1190" i="1"/>
  <c r="Q1191" i="1"/>
  <c r="Q1192" i="1"/>
  <c r="Q1188" i="1"/>
  <c r="E1189" i="1"/>
  <c r="E1190" i="1"/>
  <c r="E1191" i="1"/>
  <c r="E1192" i="1"/>
  <c r="E1188" i="1"/>
  <c r="O656" i="1"/>
  <c r="I656" i="1"/>
  <c r="H656" i="1"/>
  <c r="G656" i="1"/>
  <c r="F656" i="1"/>
  <c r="F198" i="1"/>
  <c r="O506" i="1"/>
  <c r="O195" i="1"/>
  <c r="S195" i="1"/>
  <c r="Q195" i="1"/>
  <c r="E195" i="1"/>
  <c r="B195" i="1"/>
  <c r="D1248" i="1" l="1"/>
  <c r="D1261" i="1"/>
  <c r="D1260" i="1"/>
  <c r="D1203" i="1"/>
  <c r="D1289" i="1"/>
  <c r="D1257" i="1"/>
  <c r="D1229" i="1"/>
  <c r="D1217" i="1"/>
  <c r="D1197" i="1"/>
  <c r="D1230" i="1"/>
  <c r="D1252" i="1"/>
  <c r="D1199" i="1"/>
  <c r="D1262" i="1"/>
  <c r="D1282" i="1"/>
  <c r="D1291" i="1"/>
  <c r="D1325" i="1"/>
  <c r="D1223" i="1"/>
  <c r="D1234" i="1"/>
  <c r="D1221" i="1"/>
  <c r="D1208" i="1"/>
  <c r="D1281" i="1"/>
  <c r="D1290" i="1"/>
  <c r="D1324" i="1"/>
  <c r="D1210" i="1"/>
  <c r="D1188" i="1"/>
  <c r="D1259" i="1"/>
  <c r="D1247" i="1"/>
  <c r="D1232" i="1"/>
  <c r="D1213" i="1"/>
  <c r="D1207" i="1"/>
  <c r="D1280" i="1"/>
  <c r="D1239" i="1"/>
  <c r="D1249" i="1"/>
  <c r="D1231" i="1"/>
  <c r="D1219" i="1"/>
  <c r="D1205" i="1"/>
  <c r="D1278" i="1"/>
  <c r="D1340" i="1"/>
  <c r="D1251" i="1"/>
  <c r="D1277" i="1"/>
  <c r="D1222" i="1"/>
  <c r="D1192" i="1"/>
  <c r="D1190" i="1"/>
  <c r="D1245" i="1"/>
  <c r="D1270" i="1"/>
  <c r="D1276" i="1"/>
  <c r="D1338" i="1"/>
  <c r="D1209" i="1"/>
  <c r="D1191" i="1"/>
  <c r="D1246" i="1"/>
  <c r="D1194" i="1"/>
  <c r="D1268" i="1"/>
  <c r="D1244" i="1"/>
  <c r="D1196" i="1"/>
  <c r="D1271" i="1"/>
  <c r="D1275" i="1"/>
  <c r="D1337" i="1"/>
  <c r="D1263" i="1"/>
  <c r="D1236" i="1"/>
  <c r="D1258" i="1"/>
  <c r="D1189" i="1"/>
  <c r="D1256" i="1"/>
  <c r="D1227" i="1"/>
  <c r="D1216" i="1"/>
  <c r="D1267" i="1"/>
  <c r="D1255" i="1"/>
  <c r="D1243" i="1"/>
  <c r="D1228" i="1"/>
  <c r="D1215" i="1"/>
  <c r="D1202" i="1"/>
  <c r="D1287" i="1"/>
  <c r="D1274" i="1"/>
  <c r="D1336" i="1"/>
  <c r="D195" i="1"/>
  <c r="E1288" i="1"/>
  <c r="S1288" i="1"/>
  <c r="S1187" i="1"/>
  <c r="S1323" i="1"/>
  <c r="E1187" i="1"/>
  <c r="S1193" i="1"/>
  <c r="Q1187" i="1"/>
  <c r="Q1269" i="1"/>
  <c r="Q1193" i="1"/>
  <c r="Q1288" i="1"/>
  <c r="S1269" i="1"/>
  <c r="E1269" i="1"/>
  <c r="E1193" i="1"/>
  <c r="D1288" i="1" l="1"/>
  <c r="D1187" i="1"/>
  <c r="D1269" i="1"/>
  <c r="D1193" i="1"/>
  <c r="I1083" i="1"/>
  <c r="I1082" i="1"/>
  <c r="I1081" i="1"/>
  <c r="I1078" i="1"/>
  <c r="I1077" i="1"/>
  <c r="H1083" i="1"/>
  <c r="H1082" i="1"/>
  <c r="H1081" i="1"/>
  <c r="H1078" i="1"/>
  <c r="H1077" i="1"/>
  <c r="G1083" i="1"/>
  <c r="G1082" i="1"/>
  <c r="G1081" i="1"/>
  <c r="G1078" i="1"/>
  <c r="G1077" i="1"/>
  <c r="G1075" i="1" s="1"/>
  <c r="F1083" i="1"/>
  <c r="F1082" i="1"/>
  <c r="F1081" i="1"/>
  <c r="F1078" i="1"/>
  <c r="F1077" i="1"/>
  <c r="F1075" i="1" s="1"/>
  <c r="O1080" i="1"/>
  <c r="O1075" i="1" s="1"/>
  <c r="I1075" i="1" l="1"/>
  <c r="H1075" i="1"/>
  <c r="G1072" i="1"/>
  <c r="G1069" i="1" s="1"/>
  <c r="F1072" i="1"/>
  <c r="O1070" i="1"/>
  <c r="O1069" i="1" s="1"/>
  <c r="F1070" i="1"/>
  <c r="F1069" i="1" l="1"/>
  <c r="O1062" i="1"/>
  <c r="O1060" i="1" s="1"/>
  <c r="J1064" i="1"/>
  <c r="J1060" i="1" s="1"/>
  <c r="H1064" i="1"/>
  <c r="H1060" i="1" s="1"/>
  <c r="F1064" i="1"/>
  <c r="F1068" i="1"/>
  <c r="F1067" i="1"/>
  <c r="F1066" i="1"/>
  <c r="F1065" i="1"/>
  <c r="F1057" i="1"/>
  <c r="F1054" i="1" s="1"/>
  <c r="G1057" i="1"/>
  <c r="G1054" i="1" s="1"/>
  <c r="H1057" i="1"/>
  <c r="H1054" i="1" s="1"/>
  <c r="I1057" i="1"/>
  <c r="I1054" i="1" s="1"/>
  <c r="J1057" i="1"/>
  <c r="J1054" i="1" s="1"/>
  <c r="O1053" i="1"/>
  <c r="O1052" i="1" s="1"/>
  <c r="H1053" i="1"/>
  <c r="H1052" i="1" s="1"/>
  <c r="F1053" i="1"/>
  <c r="F1052" i="1" s="1"/>
  <c r="F1050" i="1"/>
  <c r="F1049" i="1"/>
  <c r="O1019" i="1"/>
  <c r="F1019" i="1"/>
  <c r="G1019" i="1"/>
  <c r="H1019" i="1"/>
  <c r="I1019" i="1"/>
  <c r="J1019" i="1"/>
  <c r="O1024" i="1"/>
  <c r="O1020" i="1"/>
  <c r="F1020" i="1"/>
  <c r="G1020" i="1"/>
  <c r="H1020" i="1"/>
  <c r="I1020" i="1"/>
  <c r="J1020" i="1"/>
  <c r="F1031" i="1"/>
  <c r="G1031" i="1"/>
  <c r="H1031" i="1"/>
  <c r="J1031" i="1"/>
  <c r="J1041" i="1"/>
  <c r="H1041" i="1"/>
  <c r="G1041" i="1"/>
  <c r="F1041" i="1"/>
  <c r="O1028" i="1"/>
  <c r="J1032" i="1"/>
  <c r="H1032" i="1"/>
  <c r="G1032" i="1"/>
  <c r="O1035" i="1"/>
  <c r="O1034" i="1"/>
  <c r="O1007" i="1"/>
  <c r="O979" i="1"/>
  <c r="O975" i="1"/>
  <c r="O966" i="1"/>
  <c r="I1018" i="1" l="1"/>
  <c r="H1018" i="1"/>
  <c r="G1018" i="1"/>
  <c r="J1018" i="1"/>
  <c r="F1018" i="1"/>
  <c r="F1060" i="1"/>
  <c r="O1018" i="1"/>
  <c r="F1045" i="1"/>
  <c r="O951" i="1"/>
  <c r="O943" i="1"/>
  <c r="O934" i="1"/>
  <c r="O828" i="1" l="1"/>
  <c r="O742" i="1"/>
  <c r="O736" i="1"/>
  <c r="O1186" i="1"/>
  <c r="O651" i="1"/>
  <c r="O647" i="1"/>
  <c r="O631" i="1"/>
  <c r="O542" i="1"/>
  <c r="S1143" i="1"/>
  <c r="S1144" i="1"/>
  <c r="S1145" i="1"/>
  <c r="S1146" i="1"/>
  <c r="S1147" i="1"/>
  <c r="S1148" i="1"/>
  <c r="S1149" i="1"/>
  <c r="S1150" i="1"/>
  <c r="S1162" i="1"/>
  <c r="S1163" i="1"/>
  <c r="S1164" i="1"/>
  <c r="S1130" i="1"/>
  <c r="S1078" i="1"/>
  <c r="S1080" i="1"/>
  <c r="S1081" i="1"/>
  <c r="S1082" i="1"/>
  <c r="S1083" i="1"/>
  <c r="S1088" i="1"/>
  <c r="S1077" i="1"/>
  <c r="S1072" i="1"/>
  <c r="S1070" i="1"/>
  <c r="S1066" i="1"/>
  <c r="S1064" i="1"/>
  <c r="S1067" i="1"/>
  <c r="S1068" i="1"/>
  <c r="S1062" i="1"/>
  <c r="S1065" i="1"/>
  <c r="S1059" i="1"/>
  <c r="S1057" i="1"/>
  <c r="S1053" i="1"/>
  <c r="S1052" i="1" s="1"/>
  <c r="S1050" i="1"/>
  <c r="S1051" i="1"/>
  <c r="S1049" i="1"/>
  <c r="S1019" i="1"/>
  <c r="S1020" i="1"/>
  <c r="S1024" i="1"/>
  <c r="S1028" i="1"/>
  <c r="S1031" i="1"/>
  <c r="S1032" i="1"/>
  <c r="S1034" i="1"/>
  <c r="S1035" i="1"/>
  <c r="S1041" i="1"/>
  <c r="S1042" i="1"/>
  <c r="Q1143" i="1"/>
  <c r="Q1144" i="1"/>
  <c r="Q1145" i="1"/>
  <c r="Q1146" i="1"/>
  <c r="Q1147" i="1"/>
  <c r="Q1148" i="1"/>
  <c r="Q1149" i="1"/>
  <c r="Q1150" i="1"/>
  <c r="Q1162" i="1"/>
  <c r="Q1163" i="1"/>
  <c r="Q1164" i="1"/>
  <c r="Q1130" i="1"/>
  <c r="Q1078" i="1"/>
  <c r="Q1080" i="1"/>
  <c r="Q1081" i="1"/>
  <c r="Q1082" i="1"/>
  <c r="Q1083" i="1"/>
  <c r="Q1088" i="1"/>
  <c r="D1088" i="1" s="1"/>
  <c r="Q1077" i="1"/>
  <c r="Q1072" i="1"/>
  <c r="Q1070" i="1"/>
  <c r="Q1069" i="1" s="1"/>
  <c r="Q1064" i="1"/>
  <c r="Q1067" i="1"/>
  <c r="Q1068" i="1"/>
  <c r="Q1062" i="1"/>
  <c r="Q1066" i="1"/>
  <c r="Q1065" i="1"/>
  <c r="Q1059" i="1"/>
  <c r="Q1057" i="1"/>
  <c r="Q1054" i="1" s="1"/>
  <c r="Q1053" i="1"/>
  <c r="Q1052" i="1" s="1"/>
  <c r="Q1051" i="1"/>
  <c r="Q1050" i="1"/>
  <c r="Q1049" i="1"/>
  <c r="Q1019" i="1"/>
  <c r="Q1020" i="1"/>
  <c r="Q1024" i="1"/>
  <c r="Q1028" i="1"/>
  <c r="Q1031" i="1"/>
  <c r="Q1032" i="1"/>
  <c r="Q1034" i="1"/>
  <c r="Q1035" i="1"/>
  <c r="Q1041" i="1"/>
  <c r="Q1042" i="1"/>
  <c r="Q1075" i="1" l="1"/>
  <c r="S1096" i="1"/>
  <c r="S1018" i="1"/>
  <c r="S1060" i="1"/>
  <c r="S1069" i="1"/>
  <c r="S1075" i="1"/>
  <c r="Q1096" i="1"/>
  <c r="Q1060" i="1"/>
  <c r="Q1018" i="1"/>
  <c r="S1054" i="1"/>
  <c r="Q1045" i="1"/>
  <c r="S1045" i="1"/>
  <c r="O529" i="1"/>
  <c r="E1143" i="1" l="1"/>
  <c r="D1143" i="1" s="1"/>
  <c r="E1144" i="1"/>
  <c r="D1144" i="1" s="1"/>
  <c r="E1145" i="1"/>
  <c r="D1145" i="1" s="1"/>
  <c r="E1146" i="1"/>
  <c r="D1146" i="1" s="1"/>
  <c r="E1147" i="1"/>
  <c r="D1147" i="1" s="1"/>
  <c r="E1148" i="1"/>
  <c r="D1148" i="1" s="1"/>
  <c r="E1149" i="1"/>
  <c r="D1149" i="1" s="1"/>
  <c r="E1150" i="1"/>
  <c r="D1150" i="1" s="1"/>
  <c r="E1162" i="1"/>
  <c r="D1162" i="1" s="1"/>
  <c r="E1163" i="1"/>
  <c r="D1163" i="1" s="1"/>
  <c r="E1164" i="1"/>
  <c r="D1164" i="1" s="1"/>
  <c r="E1130" i="1"/>
  <c r="D1130" i="1" s="1"/>
  <c r="E1078" i="1"/>
  <c r="D1078" i="1" s="1"/>
  <c r="E1080" i="1"/>
  <c r="D1080" i="1" s="1"/>
  <c r="E1081" i="1"/>
  <c r="D1081" i="1" s="1"/>
  <c r="E1082" i="1"/>
  <c r="D1082" i="1" s="1"/>
  <c r="E1083" i="1"/>
  <c r="D1083" i="1" s="1"/>
  <c r="E1077" i="1"/>
  <c r="D1077" i="1" s="1"/>
  <c r="E1072" i="1"/>
  <c r="D1072" i="1" s="1"/>
  <c r="E1070" i="1"/>
  <c r="D1070" i="1" s="1"/>
  <c r="E1066" i="1"/>
  <c r="D1066" i="1" s="1"/>
  <c r="E1064" i="1"/>
  <c r="D1064" i="1" s="1"/>
  <c r="E1067" i="1"/>
  <c r="D1067" i="1" s="1"/>
  <c r="E1068" i="1"/>
  <c r="D1068" i="1" s="1"/>
  <c r="E1062" i="1"/>
  <c r="D1062" i="1" s="1"/>
  <c r="E1065" i="1"/>
  <c r="D1065" i="1" s="1"/>
  <c r="E1059" i="1"/>
  <c r="D1059" i="1" s="1"/>
  <c r="E1057" i="1"/>
  <c r="D1057" i="1" s="1"/>
  <c r="E1053" i="1"/>
  <c r="E1050" i="1"/>
  <c r="D1050" i="1" s="1"/>
  <c r="E1051" i="1"/>
  <c r="D1051" i="1" s="1"/>
  <c r="E1049" i="1"/>
  <c r="D1049" i="1" s="1"/>
  <c r="E1019" i="1"/>
  <c r="D1019" i="1" s="1"/>
  <c r="E1020" i="1"/>
  <c r="D1020" i="1" s="1"/>
  <c r="E1024" i="1"/>
  <c r="D1024" i="1" s="1"/>
  <c r="E1028" i="1"/>
  <c r="D1028" i="1" s="1"/>
  <c r="E1031" i="1"/>
  <c r="D1031" i="1" s="1"/>
  <c r="E1032" i="1"/>
  <c r="D1032" i="1" s="1"/>
  <c r="E1034" i="1"/>
  <c r="D1034" i="1" s="1"/>
  <c r="E1035" i="1"/>
  <c r="D1035" i="1" s="1"/>
  <c r="E1041" i="1"/>
  <c r="D1041" i="1" s="1"/>
  <c r="E1042" i="1"/>
  <c r="D1042" i="1" s="1"/>
  <c r="J1014" i="1"/>
  <c r="J1013" i="1"/>
  <c r="J1012" i="1"/>
  <c r="J1017" i="1"/>
  <c r="J1016" i="1"/>
  <c r="J1015" i="1"/>
  <c r="J1009" i="1"/>
  <c r="J1007" i="1"/>
  <c r="J999" i="1"/>
  <c r="J1001" i="1"/>
  <c r="J1000" i="1"/>
  <c r="J998" i="1"/>
  <c r="J997" i="1"/>
  <c r="J996" i="1"/>
  <c r="J995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8" i="1"/>
  <c r="J977" i="1"/>
  <c r="J976" i="1"/>
  <c r="J975" i="1"/>
  <c r="J973" i="1"/>
  <c r="J972" i="1"/>
  <c r="J971" i="1"/>
  <c r="J970" i="1"/>
  <c r="J969" i="1"/>
  <c r="J968" i="1"/>
  <c r="J967" i="1"/>
  <c r="J965" i="1"/>
  <c r="J964" i="1"/>
  <c r="J963" i="1"/>
  <c r="J954" i="1"/>
  <c r="J953" i="1"/>
  <c r="J958" i="1"/>
  <c r="J957" i="1"/>
  <c r="J956" i="1"/>
  <c r="J955" i="1"/>
  <c r="J951" i="1"/>
  <c r="J950" i="1"/>
  <c r="J939" i="1"/>
  <c r="J948" i="1"/>
  <c r="J938" i="1"/>
  <c r="J946" i="1"/>
  <c r="J945" i="1"/>
  <c r="J944" i="1"/>
  <c r="J943" i="1"/>
  <c r="J942" i="1"/>
  <c r="J937" i="1"/>
  <c r="J935" i="1"/>
  <c r="J934" i="1"/>
  <c r="J926" i="1"/>
  <c r="J933" i="1"/>
  <c r="J932" i="1"/>
  <c r="J931" i="1"/>
  <c r="J930" i="1"/>
  <c r="J929" i="1"/>
  <c r="J924" i="1"/>
  <c r="J923" i="1"/>
  <c r="J922" i="1"/>
  <c r="J921" i="1"/>
  <c r="J920" i="1"/>
  <c r="J919" i="1"/>
  <c r="J918" i="1"/>
  <c r="J917" i="1"/>
  <c r="J910" i="1"/>
  <c r="J907" i="1"/>
  <c r="J898" i="1"/>
  <c r="J897" i="1"/>
  <c r="J896" i="1"/>
  <c r="J902" i="1"/>
  <c r="J900" i="1"/>
  <c r="J899" i="1"/>
  <c r="J894" i="1"/>
  <c r="J893" i="1"/>
  <c r="J892" i="1"/>
  <c r="J890" i="1"/>
  <c r="J889" i="1"/>
  <c r="J888" i="1"/>
  <c r="J877" i="1"/>
  <c r="J876" i="1"/>
  <c r="J873" i="1"/>
  <c r="J875" i="1"/>
  <c r="J874" i="1"/>
  <c r="J887" i="1"/>
  <c r="J886" i="1"/>
  <c r="J885" i="1"/>
  <c r="J884" i="1"/>
  <c r="J883" i="1"/>
  <c r="J882" i="1"/>
  <c r="J881" i="1"/>
  <c r="J880" i="1"/>
  <c r="J879" i="1"/>
  <c r="J878" i="1"/>
  <c r="J872" i="1"/>
  <c r="J871" i="1"/>
  <c r="J870" i="1"/>
  <c r="J869" i="1"/>
  <c r="J867" i="1"/>
  <c r="J866" i="1"/>
  <c r="J864" i="1"/>
  <c r="J835" i="1"/>
  <c r="J834" i="1"/>
  <c r="J832" i="1"/>
  <c r="J826" i="1"/>
  <c r="J825" i="1"/>
  <c r="J824" i="1"/>
  <c r="J828" i="1"/>
  <c r="J827" i="1"/>
  <c r="J823" i="1"/>
  <c r="J822" i="1"/>
  <c r="J821" i="1"/>
  <c r="J820" i="1"/>
  <c r="J812" i="1"/>
  <c r="J774" i="1"/>
  <c r="J773" i="1"/>
  <c r="J772" i="1"/>
  <c r="J764" i="1"/>
  <c r="J761" i="1"/>
  <c r="J763" i="1"/>
  <c r="J744" i="1"/>
  <c r="J742" i="1"/>
  <c r="J737" i="1"/>
  <c r="J736" i="1"/>
  <c r="J726" i="1"/>
  <c r="J724" i="1"/>
  <c r="J723" i="1"/>
  <c r="J722" i="1"/>
  <c r="J721" i="1"/>
  <c r="J720" i="1"/>
  <c r="J719" i="1"/>
  <c r="J718" i="1"/>
  <c r="J708" i="1"/>
  <c r="I1014" i="1"/>
  <c r="I1013" i="1"/>
  <c r="I1012" i="1"/>
  <c r="I1017" i="1"/>
  <c r="I1016" i="1"/>
  <c r="I1015" i="1"/>
  <c r="I1009" i="1"/>
  <c r="I1007" i="1"/>
  <c r="I999" i="1"/>
  <c r="I1001" i="1"/>
  <c r="I1000" i="1"/>
  <c r="I998" i="1"/>
  <c r="I997" i="1"/>
  <c r="I996" i="1"/>
  <c r="I995" i="1"/>
  <c r="I992" i="1"/>
  <c r="I988" i="1"/>
  <c r="I964" i="1"/>
  <c r="I963" i="1"/>
  <c r="I954" i="1"/>
  <c r="I953" i="1"/>
  <c r="I958" i="1"/>
  <c r="I957" i="1"/>
  <c r="I956" i="1"/>
  <c r="I955" i="1"/>
  <c r="I951" i="1"/>
  <c r="I950" i="1"/>
  <c r="I939" i="1"/>
  <c r="I948" i="1"/>
  <c r="I946" i="1"/>
  <c r="I945" i="1"/>
  <c r="I944" i="1"/>
  <c r="I943" i="1"/>
  <c r="I942" i="1"/>
  <c r="I937" i="1"/>
  <c r="I935" i="1"/>
  <c r="I934" i="1"/>
  <c r="I926" i="1"/>
  <c r="I933" i="1"/>
  <c r="I932" i="1"/>
  <c r="I931" i="1"/>
  <c r="I930" i="1"/>
  <c r="I929" i="1"/>
  <c r="I924" i="1"/>
  <c r="I923" i="1"/>
  <c r="I922" i="1"/>
  <c r="I921" i="1"/>
  <c r="I920" i="1"/>
  <c r="I919" i="1"/>
  <c r="I918" i="1"/>
  <c r="I917" i="1"/>
  <c r="I910" i="1"/>
  <c r="I907" i="1"/>
  <c r="I898" i="1"/>
  <c r="I897" i="1"/>
  <c r="I896" i="1"/>
  <c r="I902" i="1"/>
  <c r="I900" i="1"/>
  <c r="I899" i="1"/>
  <c r="I894" i="1"/>
  <c r="I893" i="1"/>
  <c r="I892" i="1"/>
  <c r="I890" i="1"/>
  <c r="I889" i="1"/>
  <c r="I888" i="1"/>
  <c r="I877" i="1"/>
  <c r="I876" i="1"/>
  <c r="I873" i="1"/>
  <c r="I875" i="1"/>
  <c r="I874" i="1"/>
  <c r="I886" i="1"/>
  <c r="I885" i="1"/>
  <c r="I884" i="1"/>
  <c r="I883" i="1"/>
  <c r="I882" i="1"/>
  <c r="I881" i="1"/>
  <c r="I880" i="1"/>
  <c r="I879" i="1"/>
  <c r="I878" i="1"/>
  <c r="I872" i="1"/>
  <c r="I871" i="1"/>
  <c r="I870" i="1"/>
  <c r="I869" i="1"/>
  <c r="I867" i="1"/>
  <c r="I866" i="1"/>
  <c r="I864" i="1"/>
  <c r="I835" i="1"/>
  <c r="I834" i="1"/>
  <c r="I832" i="1"/>
  <c r="I826" i="1"/>
  <c r="I825" i="1"/>
  <c r="I824" i="1"/>
  <c r="I828" i="1"/>
  <c r="I827" i="1"/>
  <c r="I823" i="1"/>
  <c r="I822" i="1"/>
  <c r="I821" i="1"/>
  <c r="I820" i="1"/>
  <c r="I812" i="1"/>
  <c r="I774" i="1"/>
  <c r="I773" i="1"/>
  <c r="I772" i="1"/>
  <c r="I764" i="1"/>
  <c r="I761" i="1"/>
  <c r="I763" i="1"/>
  <c r="I744" i="1"/>
  <c r="I742" i="1"/>
  <c r="I726" i="1"/>
  <c r="I724" i="1"/>
  <c r="I723" i="1"/>
  <c r="I722" i="1"/>
  <c r="I721" i="1"/>
  <c r="I720" i="1"/>
  <c r="I719" i="1"/>
  <c r="I718" i="1"/>
  <c r="H1014" i="1"/>
  <c r="H1013" i="1"/>
  <c r="H1012" i="1"/>
  <c r="H1017" i="1"/>
  <c r="H1016" i="1"/>
  <c r="H1015" i="1"/>
  <c r="H1009" i="1"/>
  <c r="H1007" i="1"/>
  <c r="H999" i="1"/>
  <c r="H1001" i="1"/>
  <c r="H1000" i="1"/>
  <c r="H998" i="1"/>
  <c r="H997" i="1"/>
  <c r="H996" i="1"/>
  <c r="H995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8" i="1"/>
  <c r="H977" i="1"/>
  <c r="H976" i="1"/>
  <c r="H975" i="1"/>
  <c r="H973" i="1"/>
  <c r="H972" i="1"/>
  <c r="H971" i="1"/>
  <c r="H970" i="1"/>
  <c r="H969" i="1"/>
  <c r="H968" i="1"/>
  <c r="H967" i="1"/>
  <c r="H965" i="1"/>
  <c r="H964" i="1"/>
  <c r="H963" i="1"/>
  <c r="H954" i="1"/>
  <c r="H953" i="1"/>
  <c r="H958" i="1"/>
  <c r="H957" i="1"/>
  <c r="H956" i="1"/>
  <c r="H955" i="1"/>
  <c r="H951" i="1"/>
  <c r="H950" i="1"/>
  <c r="H939" i="1"/>
  <c r="H948" i="1"/>
  <c r="H938" i="1"/>
  <c r="H946" i="1"/>
  <c r="H945" i="1"/>
  <c r="H944" i="1"/>
  <c r="H943" i="1"/>
  <c r="H942" i="1"/>
  <c r="H937" i="1"/>
  <c r="H935" i="1"/>
  <c r="H934" i="1"/>
  <c r="H926" i="1"/>
  <c r="H933" i="1"/>
  <c r="H932" i="1"/>
  <c r="H931" i="1"/>
  <c r="H930" i="1"/>
  <c r="H929" i="1"/>
  <c r="H924" i="1"/>
  <c r="H923" i="1"/>
  <c r="H922" i="1"/>
  <c r="H921" i="1"/>
  <c r="H920" i="1"/>
  <c r="H919" i="1"/>
  <c r="H918" i="1"/>
  <c r="H917" i="1"/>
  <c r="H910" i="1"/>
  <c r="H907" i="1"/>
  <c r="H898" i="1"/>
  <c r="H897" i="1"/>
  <c r="H896" i="1"/>
  <c r="H902" i="1"/>
  <c r="H900" i="1"/>
  <c r="H899" i="1"/>
  <c r="H894" i="1"/>
  <c r="H893" i="1"/>
  <c r="H892" i="1"/>
  <c r="H890" i="1"/>
  <c r="H889" i="1"/>
  <c r="H888" i="1"/>
  <c r="H877" i="1"/>
  <c r="H876" i="1"/>
  <c r="H873" i="1"/>
  <c r="H875" i="1"/>
  <c r="H874" i="1"/>
  <c r="H887" i="1"/>
  <c r="H886" i="1"/>
  <c r="H885" i="1"/>
  <c r="H884" i="1"/>
  <c r="H883" i="1"/>
  <c r="H882" i="1"/>
  <c r="H881" i="1"/>
  <c r="H880" i="1"/>
  <c r="H879" i="1"/>
  <c r="H878" i="1"/>
  <c r="H872" i="1"/>
  <c r="H871" i="1"/>
  <c r="H870" i="1"/>
  <c r="H869" i="1"/>
  <c r="H867" i="1"/>
  <c r="H866" i="1"/>
  <c r="H864" i="1"/>
  <c r="H835" i="1"/>
  <c r="H834" i="1"/>
  <c r="H833" i="1"/>
  <c r="H832" i="1"/>
  <c r="H826" i="1"/>
  <c r="H825" i="1"/>
  <c r="H824" i="1"/>
  <c r="H828" i="1"/>
  <c r="H827" i="1"/>
  <c r="H823" i="1"/>
  <c r="H822" i="1"/>
  <c r="H821" i="1"/>
  <c r="H820" i="1"/>
  <c r="H812" i="1"/>
  <c r="H774" i="1"/>
  <c r="H773" i="1"/>
  <c r="H772" i="1"/>
  <c r="H764" i="1"/>
  <c r="H761" i="1"/>
  <c r="H763" i="1"/>
  <c r="H744" i="1"/>
  <c r="H742" i="1"/>
  <c r="H737" i="1"/>
  <c r="H736" i="1"/>
  <c r="H726" i="1"/>
  <c r="H724" i="1"/>
  <c r="H723" i="1"/>
  <c r="H722" i="1"/>
  <c r="H721" i="1"/>
  <c r="H720" i="1"/>
  <c r="H719" i="1"/>
  <c r="H718" i="1"/>
  <c r="H708" i="1"/>
  <c r="G708" i="1"/>
  <c r="F708" i="1"/>
  <c r="G1014" i="1"/>
  <c r="G1013" i="1"/>
  <c r="G1012" i="1"/>
  <c r="G1017" i="1"/>
  <c r="G1016" i="1"/>
  <c r="G1015" i="1"/>
  <c r="G1009" i="1"/>
  <c r="G1007" i="1"/>
  <c r="G999" i="1"/>
  <c r="G1001" i="1"/>
  <c r="G1000" i="1"/>
  <c r="G998" i="1"/>
  <c r="G997" i="1"/>
  <c r="G996" i="1"/>
  <c r="G995" i="1"/>
  <c r="G992" i="1"/>
  <c r="G991" i="1"/>
  <c r="G990" i="1"/>
  <c r="G989" i="1"/>
  <c r="G988" i="1"/>
  <c r="G987" i="1"/>
  <c r="G986" i="1"/>
  <c r="G985" i="1"/>
  <c r="G984" i="1"/>
  <c r="G983" i="1"/>
  <c r="G980" i="1"/>
  <c r="G969" i="1"/>
  <c r="G968" i="1"/>
  <c r="G967" i="1"/>
  <c r="G965" i="1"/>
  <c r="G964" i="1"/>
  <c r="G963" i="1"/>
  <c r="G954" i="1"/>
  <c r="G953" i="1"/>
  <c r="G958" i="1"/>
  <c r="G957" i="1"/>
  <c r="G956" i="1"/>
  <c r="G955" i="1"/>
  <c r="G951" i="1"/>
  <c r="G950" i="1"/>
  <c r="G939" i="1"/>
  <c r="G948" i="1"/>
  <c r="G938" i="1"/>
  <c r="G946" i="1"/>
  <c r="G945" i="1"/>
  <c r="G944" i="1"/>
  <c r="G943" i="1"/>
  <c r="G942" i="1"/>
  <c r="G937" i="1"/>
  <c r="G935" i="1"/>
  <c r="G934" i="1"/>
  <c r="G926" i="1"/>
  <c r="G933" i="1"/>
  <c r="G932" i="1"/>
  <c r="G931" i="1"/>
  <c r="G930" i="1"/>
  <c r="G929" i="1"/>
  <c r="G924" i="1"/>
  <c r="G923" i="1"/>
  <c r="G922" i="1"/>
  <c r="G921" i="1"/>
  <c r="G920" i="1"/>
  <c r="G919" i="1"/>
  <c r="G918" i="1"/>
  <c r="G917" i="1"/>
  <c r="G910" i="1"/>
  <c r="G907" i="1"/>
  <c r="G898" i="1"/>
  <c r="G897" i="1"/>
  <c r="G896" i="1"/>
  <c r="G902" i="1"/>
  <c r="G900" i="1"/>
  <c r="G899" i="1"/>
  <c r="G894" i="1"/>
  <c r="G893" i="1"/>
  <c r="G892" i="1"/>
  <c r="G890" i="1"/>
  <c r="G889" i="1"/>
  <c r="G888" i="1"/>
  <c r="G877" i="1"/>
  <c r="G876" i="1"/>
  <c r="G873" i="1"/>
  <c r="G875" i="1"/>
  <c r="G874" i="1"/>
  <c r="G886" i="1"/>
  <c r="G885" i="1"/>
  <c r="G884" i="1"/>
  <c r="G883" i="1"/>
  <c r="G882" i="1"/>
  <c r="G881" i="1"/>
  <c r="G880" i="1"/>
  <c r="G879" i="1"/>
  <c r="G872" i="1"/>
  <c r="G871" i="1"/>
  <c r="G870" i="1"/>
  <c r="G869" i="1"/>
  <c r="G867" i="1"/>
  <c r="G866" i="1"/>
  <c r="G864" i="1"/>
  <c r="G835" i="1"/>
  <c r="G834" i="1"/>
  <c r="G832" i="1"/>
  <c r="G826" i="1"/>
  <c r="G825" i="1"/>
  <c r="G824" i="1"/>
  <c r="G828" i="1"/>
  <c r="G827" i="1"/>
  <c r="G823" i="1"/>
  <c r="G822" i="1"/>
  <c r="G821" i="1"/>
  <c r="G820" i="1"/>
  <c r="G812" i="1"/>
  <c r="G774" i="1"/>
  <c r="G773" i="1"/>
  <c r="G772" i="1"/>
  <c r="G764" i="1"/>
  <c r="G761" i="1"/>
  <c r="G763" i="1"/>
  <c r="G744" i="1"/>
  <c r="G742" i="1"/>
  <c r="G737" i="1"/>
  <c r="G736" i="1"/>
  <c r="G726" i="1"/>
  <c r="G724" i="1"/>
  <c r="G723" i="1"/>
  <c r="G722" i="1"/>
  <c r="G721" i="1"/>
  <c r="G720" i="1"/>
  <c r="G719" i="1"/>
  <c r="G718" i="1"/>
  <c r="F1014" i="1"/>
  <c r="F1013" i="1"/>
  <c r="F1012" i="1"/>
  <c r="F1017" i="1"/>
  <c r="F1016" i="1"/>
  <c r="F1015" i="1"/>
  <c r="F1009" i="1"/>
  <c r="F1007" i="1"/>
  <c r="F999" i="1"/>
  <c r="F1001" i="1"/>
  <c r="F1000" i="1"/>
  <c r="F998" i="1"/>
  <c r="F997" i="1"/>
  <c r="F996" i="1"/>
  <c r="F995" i="1"/>
  <c r="F992" i="1"/>
  <c r="F988" i="1"/>
  <c r="F982" i="1"/>
  <c r="F981" i="1"/>
  <c r="F980" i="1"/>
  <c r="F978" i="1"/>
  <c r="F977" i="1"/>
  <c r="F976" i="1"/>
  <c r="F975" i="1"/>
  <c r="F973" i="1"/>
  <c r="F972" i="1"/>
  <c r="F971" i="1"/>
  <c r="F970" i="1"/>
  <c r="F969" i="1"/>
  <c r="F968" i="1"/>
  <c r="F967" i="1"/>
  <c r="F966" i="1"/>
  <c r="F965" i="1"/>
  <c r="F964" i="1"/>
  <c r="F963" i="1"/>
  <c r="F954" i="1"/>
  <c r="F953" i="1"/>
  <c r="F958" i="1"/>
  <c r="F957" i="1"/>
  <c r="F956" i="1"/>
  <c r="F955" i="1"/>
  <c r="F951" i="1"/>
  <c r="F950" i="1"/>
  <c r="F939" i="1"/>
  <c r="F948" i="1"/>
  <c r="F946" i="1"/>
  <c r="F945" i="1"/>
  <c r="F944" i="1"/>
  <c r="F943" i="1"/>
  <c r="F942" i="1"/>
  <c r="F937" i="1"/>
  <c r="F935" i="1"/>
  <c r="F934" i="1"/>
  <c r="F926" i="1"/>
  <c r="F933" i="1"/>
  <c r="F932" i="1"/>
  <c r="F931" i="1"/>
  <c r="F930" i="1"/>
  <c r="F929" i="1"/>
  <c r="F924" i="1"/>
  <c r="F923" i="1"/>
  <c r="F922" i="1"/>
  <c r="F921" i="1"/>
  <c r="F920" i="1"/>
  <c r="F919" i="1"/>
  <c r="F918" i="1"/>
  <c r="F917" i="1"/>
  <c r="F910" i="1"/>
  <c r="F907" i="1"/>
  <c r="F898" i="1"/>
  <c r="F897" i="1"/>
  <c r="F896" i="1"/>
  <c r="F902" i="1"/>
  <c r="F900" i="1"/>
  <c r="F899" i="1"/>
  <c r="F894" i="1"/>
  <c r="F893" i="1"/>
  <c r="F892" i="1"/>
  <c r="F890" i="1"/>
  <c r="F889" i="1"/>
  <c r="F888" i="1"/>
  <c r="F877" i="1"/>
  <c r="F876" i="1"/>
  <c r="F873" i="1"/>
  <c r="F875" i="1"/>
  <c r="F874" i="1"/>
  <c r="F886" i="1"/>
  <c r="F885" i="1"/>
  <c r="F884" i="1"/>
  <c r="F883" i="1"/>
  <c r="F882" i="1"/>
  <c r="F881" i="1"/>
  <c r="F880" i="1"/>
  <c r="F872" i="1"/>
  <c r="F871" i="1"/>
  <c r="F870" i="1"/>
  <c r="F869" i="1"/>
  <c r="F867" i="1"/>
  <c r="F866" i="1"/>
  <c r="F835" i="1"/>
  <c r="F834" i="1"/>
  <c r="F833" i="1"/>
  <c r="F832" i="1"/>
  <c r="F826" i="1"/>
  <c r="F825" i="1"/>
  <c r="F824" i="1"/>
  <c r="F827" i="1"/>
  <c r="F823" i="1"/>
  <c r="F822" i="1"/>
  <c r="F821" i="1"/>
  <c r="F820" i="1"/>
  <c r="F812" i="1"/>
  <c r="F774" i="1"/>
  <c r="F773" i="1"/>
  <c r="F772" i="1"/>
  <c r="F764" i="1"/>
  <c r="F761" i="1"/>
  <c r="F763" i="1"/>
  <c r="F744" i="1"/>
  <c r="F742" i="1"/>
  <c r="F737" i="1"/>
  <c r="F736" i="1"/>
  <c r="F726" i="1"/>
  <c r="F724" i="1"/>
  <c r="F723" i="1"/>
  <c r="F722" i="1"/>
  <c r="F721" i="1"/>
  <c r="F720" i="1"/>
  <c r="F719" i="1"/>
  <c r="F718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2" i="1"/>
  <c r="J681" i="1"/>
  <c r="J667" i="1"/>
  <c r="J666" i="1"/>
  <c r="J665" i="1"/>
  <c r="J664" i="1"/>
  <c r="J663" i="1"/>
  <c r="J662" i="1"/>
  <c r="J661" i="1"/>
  <c r="J660" i="1"/>
  <c r="J659" i="1"/>
  <c r="J655" i="1"/>
  <c r="J649" i="1"/>
  <c r="J648" i="1"/>
  <c r="J645" i="1"/>
  <c r="J644" i="1"/>
  <c r="J643" i="1"/>
  <c r="J642" i="1"/>
  <c r="J641" i="1"/>
  <c r="J640" i="1"/>
  <c r="J639" i="1"/>
  <c r="J638" i="1"/>
  <c r="J637" i="1"/>
  <c r="J636" i="1"/>
  <c r="J634" i="1"/>
  <c r="J633" i="1"/>
  <c r="J632" i="1"/>
  <c r="J631" i="1"/>
  <c r="J629" i="1"/>
  <c r="J627" i="1"/>
  <c r="J626" i="1"/>
  <c r="J625" i="1"/>
  <c r="J624" i="1"/>
  <c r="J623" i="1"/>
  <c r="J622" i="1"/>
  <c r="J619" i="1"/>
  <c r="J618" i="1"/>
  <c r="J617" i="1"/>
  <c r="J616" i="1"/>
  <c r="J615" i="1"/>
  <c r="J614" i="1"/>
  <c r="J612" i="1"/>
  <c r="J611" i="1"/>
  <c r="J610" i="1"/>
  <c r="J609" i="1"/>
  <c r="J608" i="1"/>
  <c r="J607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2" i="1"/>
  <c r="I681" i="1"/>
  <c r="I667" i="1"/>
  <c r="I666" i="1"/>
  <c r="I665" i="1"/>
  <c r="I664" i="1"/>
  <c r="I663" i="1"/>
  <c r="I662" i="1"/>
  <c r="I661" i="1"/>
  <c r="I660" i="1"/>
  <c r="I659" i="1"/>
  <c r="I648" i="1"/>
  <c r="I645" i="1"/>
  <c r="I644" i="1"/>
  <c r="I643" i="1"/>
  <c r="I642" i="1"/>
  <c r="I641" i="1"/>
  <c r="I640" i="1"/>
  <c r="I639" i="1"/>
  <c r="I638" i="1"/>
  <c r="I637" i="1"/>
  <c r="I636" i="1"/>
  <c r="I634" i="1"/>
  <c r="I633" i="1"/>
  <c r="I632" i="1"/>
  <c r="I631" i="1"/>
  <c r="I629" i="1"/>
  <c r="I627" i="1"/>
  <c r="I626" i="1"/>
  <c r="I625" i="1"/>
  <c r="I624" i="1"/>
  <c r="I623" i="1"/>
  <c r="I622" i="1"/>
  <c r="I619" i="1"/>
  <c r="I618" i="1"/>
  <c r="I617" i="1"/>
  <c r="I616" i="1"/>
  <c r="I615" i="1"/>
  <c r="I614" i="1"/>
  <c r="I612" i="1"/>
  <c r="I611" i="1"/>
  <c r="I610" i="1"/>
  <c r="I609" i="1"/>
  <c r="I608" i="1"/>
  <c r="I607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2" i="1"/>
  <c r="H681" i="1"/>
  <c r="H667" i="1"/>
  <c r="H666" i="1"/>
  <c r="H665" i="1"/>
  <c r="H664" i="1"/>
  <c r="H663" i="1"/>
  <c r="H662" i="1"/>
  <c r="H661" i="1"/>
  <c r="H660" i="1"/>
  <c r="H659" i="1"/>
  <c r="H655" i="1"/>
  <c r="H649" i="1"/>
  <c r="H648" i="1"/>
  <c r="H645" i="1"/>
  <c r="H644" i="1"/>
  <c r="H643" i="1"/>
  <c r="H642" i="1"/>
  <c r="H641" i="1"/>
  <c r="H640" i="1"/>
  <c r="H639" i="1"/>
  <c r="H638" i="1"/>
  <c r="H637" i="1"/>
  <c r="H636" i="1"/>
  <c r="H634" i="1"/>
  <c r="H633" i="1"/>
  <c r="H632" i="1"/>
  <c r="H631" i="1"/>
  <c r="H629" i="1"/>
  <c r="H627" i="1"/>
  <c r="H626" i="1"/>
  <c r="H625" i="1"/>
  <c r="H624" i="1"/>
  <c r="H623" i="1"/>
  <c r="H622" i="1"/>
  <c r="H619" i="1"/>
  <c r="H618" i="1"/>
  <c r="H617" i="1"/>
  <c r="H616" i="1"/>
  <c r="H615" i="1"/>
  <c r="H614" i="1"/>
  <c r="H612" i="1"/>
  <c r="H611" i="1"/>
  <c r="H610" i="1"/>
  <c r="H609" i="1"/>
  <c r="H608" i="1"/>
  <c r="H607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2" i="1"/>
  <c r="G681" i="1"/>
  <c r="G667" i="1"/>
  <c r="G666" i="1"/>
  <c r="G665" i="1"/>
  <c r="G664" i="1"/>
  <c r="G663" i="1"/>
  <c r="G662" i="1"/>
  <c r="G661" i="1"/>
  <c r="G660" i="1"/>
  <c r="G659" i="1"/>
  <c r="G655" i="1"/>
  <c r="G649" i="1"/>
  <c r="G648" i="1"/>
  <c r="G645" i="1"/>
  <c r="G644" i="1"/>
  <c r="G643" i="1"/>
  <c r="G642" i="1"/>
  <c r="G641" i="1"/>
  <c r="G640" i="1"/>
  <c r="G639" i="1"/>
  <c r="G638" i="1"/>
  <c r="G637" i="1"/>
  <c r="G636" i="1"/>
  <c r="G634" i="1"/>
  <c r="G633" i="1"/>
  <c r="G632" i="1"/>
  <c r="G631" i="1"/>
  <c r="G629" i="1"/>
  <c r="G627" i="1"/>
  <c r="G626" i="1"/>
  <c r="G625" i="1"/>
  <c r="G624" i="1"/>
  <c r="G623" i="1"/>
  <c r="G622" i="1"/>
  <c r="G619" i="1"/>
  <c r="G618" i="1"/>
  <c r="G617" i="1"/>
  <c r="G616" i="1"/>
  <c r="G615" i="1"/>
  <c r="G614" i="1"/>
  <c r="G612" i="1"/>
  <c r="G611" i="1"/>
  <c r="G610" i="1"/>
  <c r="G609" i="1"/>
  <c r="G608" i="1"/>
  <c r="G607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2" i="1"/>
  <c r="F681" i="1"/>
  <c r="F667" i="1"/>
  <c r="F666" i="1"/>
  <c r="F665" i="1"/>
  <c r="F664" i="1"/>
  <c r="F663" i="1"/>
  <c r="F662" i="1"/>
  <c r="F661" i="1"/>
  <c r="F660" i="1"/>
  <c r="F659" i="1"/>
  <c r="F655" i="1"/>
  <c r="F651" i="1"/>
  <c r="F649" i="1"/>
  <c r="F648" i="1"/>
  <c r="F645" i="1"/>
  <c r="F644" i="1"/>
  <c r="F643" i="1"/>
  <c r="F642" i="1"/>
  <c r="F641" i="1"/>
  <c r="F640" i="1"/>
  <c r="F639" i="1"/>
  <c r="F638" i="1"/>
  <c r="F637" i="1"/>
  <c r="F636" i="1"/>
  <c r="F634" i="1"/>
  <c r="F633" i="1"/>
  <c r="F632" i="1"/>
  <c r="F631" i="1"/>
  <c r="F629" i="1"/>
  <c r="F627" i="1"/>
  <c r="F626" i="1"/>
  <c r="F625" i="1"/>
  <c r="F624" i="1"/>
  <c r="F623" i="1"/>
  <c r="F622" i="1"/>
  <c r="F619" i="1"/>
  <c r="F618" i="1"/>
  <c r="F617" i="1"/>
  <c r="F616" i="1"/>
  <c r="F615" i="1"/>
  <c r="F614" i="1"/>
  <c r="F612" i="1"/>
  <c r="F611" i="1"/>
  <c r="F610" i="1"/>
  <c r="F609" i="1"/>
  <c r="F608" i="1"/>
  <c r="F607" i="1"/>
  <c r="J606" i="1"/>
  <c r="J605" i="1"/>
  <c r="J604" i="1"/>
  <c r="J603" i="1"/>
  <c r="J601" i="1"/>
  <c r="J600" i="1"/>
  <c r="J599" i="1"/>
  <c r="J598" i="1"/>
  <c r="J597" i="1"/>
  <c r="J596" i="1"/>
  <c r="J595" i="1"/>
  <c r="J594" i="1"/>
  <c r="J593" i="1"/>
  <c r="J583" i="1"/>
  <c r="J582" i="1"/>
  <c r="J567" i="1"/>
  <c r="J566" i="1"/>
  <c r="J565" i="1"/>
  <c r="J564" i="1"/>
  <c r="J563" i="1"/>
  <c r="J562" i="1"/>
  <c r="J561" i="1"/>
  <c r="J559" i="1"/>
  <c r="J558" i="1"/>
  <c r="J557" i="1"/>
  <c r="J556" i="1"/>
  <c r="J555" i="1"/>
  <c r="J554" i="1"/>
  <c r="J550" i="1"/>
  <c r="J551" i="1"/>
  <c r="J549" i="1"/>
  <c r="J548" i="1"/>
  <c r="J547" i="1"/>
  <c r="I606" i="1"/>
  <c r="I605" i="1"/>
  <c r="I604" i="1"/>
  <c r="I603" i="1"/>
  <c r="I601" i="1"/>
  <c r="I600" i="1"/>
  <c r="I599" i="1"/>
  <c r="I598" i="1"/>
  <c r="I597" i="1"/>
  <c r="I596" i="1"/>
  <c r="I595" i="1"/>
  <c r="I594" i="1"/>
  <c r="I593" i="1"/>
  <c r="I583" i="1"/>
  <c r="I582" i="1"/>
  <c r="I567" i="1"/>
  <c r="I566" i="1"/>
  <c r="I565" i="1"/>
  <c r="I564" i="1"/>
  <c r="I563" i="1"/>
  <c r="I562" i="1"/>
  <c r="I561" i="1"/>
  <c r="I559" i="1"/>
  <c r="I558" i="1"/>
  <c r="I557" i="1"/>
  <c r="I556" i="1"/>
  <c r="I555" i="1"/>
  <c r="I554" i="1"/>
  <c r="I550" i="1"/>
  <c r="I551" i="1"/>
  <c r="I549" i="1"/>
  <c r="I548" i="1"/>
  <c r="I547" i="1"/>
  <c r="H606" i="1"/>
  <c r="H605" i="1"/>
  <c r="H604" i="1"/>
  <c r="H603" i="1"/>
  <c r="H601" i="1"/>
  <c r="H600" i="1"/>
  <c r="H599" i="1"/>
  <c r="H598" i="1"/>
  <c r="H597" i="1"/>
  <c r="H596" i="1"/>
  <c r="H595" i="1"/>
  <c r="H594" i="1"/>
  <c r="H593" i="1"/>
  <c r="H583" i="1"/>
  <c r="H582" i="1"/>
  <c r="H567" i="1"/>
  <c r="H566" i="1"/>
  <c r="H565" i="1"/>
  <c r="H564" i="1"/>
  <c r="H563" i="1"/>
  <c r="H562" i="1"/>
  <c r="H561" i="1"/>
  <c r="H559" i="1"/>
  <c r="H558" i="1"/>
  <c r="H557" i="1"/>
  <c r="H556" i="1"/>
  <c r="H555" i="1"/>
  <c r="H554" i="1"/>
  <c r="H550" i="1"/>
  <c r="H551" i="1"/>
  <c r="H549" i="1"/>
  <c r="H548" i="1"/>
  <c r="H547" i="1"/>
  <c r="G606" i="1"/>
  <c r="G605" i="1"/>
  <c r="G604" i="1"/>
  <c r="G603" i="1"/>
  <c r="G601" i="1"/>
  <c r="G600" i="1"/>
  <c r="G599" i="1"/>
  <c r="G598" i="1"/>
  <c r="G597" i="1"/>
  <c r="G596" i="1"/>
  <c r="G595" i="1"/>
  <c r="G594" i="1"/>
  <c r="G593" i="1"/>
  <c r="G583" i="1"/>
  <c r="G582" i="1"/>
  <c r="G567" i="1"/>
  <c r="G566" i="1"/>
  <c r="G565" i="1"/>
  <c r="G564" i="1"/>
  <c r="G563" i="1"/>
  <c r="G562" i="1"/>
  <c r="G561" i="1"/>
  <c r="G559" i="1"/>
  <c r="G558" i="1"/>
  <c r="G557" i="1"/>
  <c r="G556" i="1"/>
  <c r="G555" i="1"/>
  <c r="G554" i="1"/>
  <c r="G550" i="1"/>
  <c r="G551" i="1"/>
  <c r="G549" i="1"/>
  <c r="G548" i="1"/>
  <c r="G547" i="1"/>
  <c r="F606" i="1"/>
  <c r="F605" i="1"/>
  <c r="F604" i="1"/>
  <c r="F603" i="1"/>
  <c r="F601" i="1"/>
  <c r="F600" i="1"/>
  <c r="F599" i="1"/>
  <c r="F598" i="1"/>
  <c r="F597" i="1"/>
  <c r="F596" i="1"/>
  <c r="F595" i="1"/>
  <c r="F583" i="1"/>
  <c r="F594" i="1"/>
  <c r="F582" i="1"/>
  <c r="F567" i="1"/>
  <c r="F566" i="1"/>
  <c r="F565" i="1"/>
  <c r="F564" i="1"/>
  <c r="F563" i="1"/>
  <c r="F562" i="1"/>
  <c r="F561" i="1"/>
  <c r="F559" i="1"/>
  <c r="F558" i="1"/>
  <c r="F557" i="1"/>
  <c r="F556" i="1"/>
  <c r="F555" i="1"/>
  <c r="F554" i="1"/>
  <c r="F550" i="1"/>
  <c r="F551" i="1"/>
  <c r="F549" i="1"/>
  <c r="F548" i="1"/>
  <c r="F547" i="1"/>
  <c r="J553" i="1"/>
  <c r="J546" i="1"/>
  <c r="J545" i="1"/>
  <c r="J543" i="1"/>
  <c r="J542" i="1"/>
  <c r="J534" i="1"/>
  <c r="J533" i="1"/>
  <c r="J532" i="1"/>
  <c r="J541" i="1"/>
  <c r="J540" i="1"/>
  <c r="J539" i="1"/>
  <c r="J538" i="1"/>
  <c r="J537" i="1"/>
  <c r="J536" i="1"/>
  <c r="J535" i="1"/>
  <c r="J529" i="1"/>
  <c r="J528" i="1"/>
  <c r="J527" i="1"/>
  <c r="J526" i="1"/>
  <c r="J525" i="1"/>
  <c r="J530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499" i="1"/>
  <c r="J498" i="1"/>
  <c r="J494" i="1"/>
  <c r="J493" i="1"/>
  <c r="J492" i="1"/>
  <c r="J491" i="1"/>
  <c r="J490" i="1"/>
  <c r="J489" i="1"/>
  <c r="J488" i="1"/>
  <c r="J487" i="1"/>
  <c r="J486" i="1"/>
  <c r="J485" i="1"/>
  <c r="J497" i="1"/>
  <c r="J496" i="1"/>
  <c r="J495" i="1"/>
  <c r="J484" i="1"/>
  <c r="J478" i="1"/>
  <c r="J474" i="1"/>
  <c r="I546" i="1"/>
  <c r="I545" i="1"/>
  <c r="I543" i="1"/>
  <c r="I542" i="1"/>
  <c r="I534" i="1"/>
  <c r="I533" i="1"/>
  <c r="I532" i="1"/>
  <c r="I541" i="1"/>
  <c r="I540" i="1"/>
  <c r="I539" i="1"/>
  <c r="I538" i="1"/>
  <c r="I537" i="1"/>
  <c r="I536" i="1"/>
  <c r="I535" i="1"/>
  <c r="I529" i="1"/>
  <c r="I528" i="1"/>
  <c r="I527" i="1"/>
  <c r="I526" i="1"/>
  <c r="I525" i="1"/>
  <c r="I530" i="1"/>
  <c r="I506" i="1"/>
  <c r="I505" i="1"/>
  <c r="I504" i="1"/>
  <c r="I503" i="1"/>
  <c r="I502" i="1"/>
  <c r="I501" i="1"/>
  <c r="I499" i="1"/>
  <c r="I498" i="1"/>
  <c r="I494" i="1"/>
  <c r="I493" i="1"/>
  <c r="I492" i="1"/>
  <c r="I491" i="1"/>
  <c r="I490" i="1"/>
  <c r="I489" i="1"/>
  <c r="I488" i="1"/>
  <c r="I487" i="1"/>
  <c r="I486" i="1"/>
  <c r="I485" i="1"/>
  <c r="I497" i="1"/>
  <c r="I496" i="1"/>
  <c r="I495" i="1"/>
  <c r="I484" i="1"/>
  <c r="I478" i="1"/>
  <c r="I474" i="1"/>
  <c r="H546" i="1"/>
  <c r="H545" i="1"/>
  <c r="H543" i="1"/>
  <c r="H542" i="1"/>
  <c r="H534" i="1"/>
  <c r="H533" i="1"/>
  <c r="H532" i="1"/>
  <c r="H541" i="1"/>
  <c r="H540" i="1"/>
  <c r="H539" i="1"/>
  <c r="H538" i="1"/>
  <c r="H537" i="1"/>
  <c r="H536" i="1"/>
  <c r="H535" i="1"/>
  <c r="H529" i="1"/>
  <c r="H528" i="1"/>
  <c r="H527" i="1"/>
  <c r="H526" i="1"/>
  <c r="H525" i="1"/>
  <c r="H530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499" i="1"/>
  <c r="H498" i="1"/>
  <c r="H494" i="1"/>
  <c r="H493" i="1"/>
  <c r="H492" i="1"/>
  <c r="H491" i="1"/>
  <c r="H490" i="1"/>
  <c r="H489" i="1"/>
  <c r="H488" i="1"/>
  <c r="H487" i="1"/>
  <c r="H486" i="1"/>
  <c r="H485" i="1"/>
  <c r="H497" i="1"/>
  <c r="H496" i="1"/>
  <c r="H495" i="1"/>
  <c r="H484" i="1"/>
  <c r="H478" i="1"/>
  <c r="H474" i="1"/>
  <c r="H471" i="1"/>
  <c r="G546" i="1"/>
  <c r="G545" i="1"/>
  <c r="F546" i="1"/>
  <c r="F545" i="1"/>
  <c r="G543" i="1"/>
  <c r="G542" i="1"/>
  <c r="G534" i="1"/>
  <c r="G533" i="1"/>
  <c r="G532" i="1"/>
  <c r="G541" i="1"/>
  <c r="G540" i="1"/>
  <c r="G539" i="1"/>
  <c r="G538" i="1"/>
  <c r="G537" i="1"/>
  <c r="G536" i="1"/>
  <c r="G535" i="1"/>
  <c r="G529" i="1"/>
  <c r="G528" i="1"/>
  <c r="G527" i="1"/>
  <c r="G526" i="1"/>
  <c r="G525" i="1"/>
  <c r="G530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499" i="1"/>
  <c r="G498" i="1"/>
  <c r="G494" i="1"/>
  <c r="G493" i="1"/>
  <c r="G492" i="1"/>
  <c r="G491" i="1"/>
  <c r="G490" i="1"/>
  <c r="G489" i="1"/>
  <c r="G488" i="1"/>
  <c r="G487" i="1"/>
  <c r="G486" i="1"/>
  <c r="G485" i="1"/>
  <c r="G497" i="1"/>
  <c r="G496" i="1"/>
  <c r="G495" i="1"/>
  <c r="G484" i="1"/>
  <c r="G478" i="1"/>
  <c r="G474" i="1"/>
  <c r="F543" i="1"/>
  <c r="F542" i="1"/>
  <c r="F534" i="1"/>
  <c r="F533" i="1"/>
  <c r="F532" i="1"/>
  <c r="F541" i="1"/>
  <c r="F540" i="1"/>
  <c r="F539" i="1"/>
  <c r="F538" i="1"/>
  <c r="F537" i="1"/>
  <c r="F536" i="1"/>
  <c r="F535" i="1"/>
  <c r="F529" i="1"/>
  <c r="F528" i="1"/>
  <c r="F527" i="1"/>
  <c r="F526" i="1"/>
  <c r="F525" i="1"/>
  <c r="F530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499" i="1"/>
  <c r="F498" i="1"/>
  <c r="F478" i="1"/>
  <c r="F494" i="1"/>
  <c r="F493" i="1"/>
  <c r="F492" i="1"/>
  <c r="F491" i="1"/>
  <c r="F490" i="1"/>
  <c r="F489" i="1"/>
  <c r="F488" i="1"/>
  <c r="F487" i="1"/>
  <c r="F486" i="1"/>
  <c r="F485" i="1"/>
  <c r="F497" i="1"/>
  <c r="F496" i="1"/>
  <c r="F495" i="1"/>
  <c r="F484" i="1"/>
  <c r="F474" i="1"/>
  <c r="J471" i="1"/>
  <c r="I471" i="1"/>
  <c r="G471" i="1"/>
  <c r="F471" i="1"/>
  <c r="J468" i="1"/>
  <c r="J467" i="1"/>
  <c r="I468" i="1"/>
  <c r="I467" i="1"/>
  <c r="H468" i="1"/>
  <c r="H467" i="1"/>
  <c r="G468" i="1"/>
  <c r="G467" i="1"/>
  <c r="F468" i="1"/>
  <c r="F467" i="1"/>
  <c r="J466" i="1"/>
  <c r="I466" i="1"/>
  <c r="H466" i="1"/>
  <c r="G466" i="1"/>
  <c r="F466" i="1"/>
  <c r="J462" i="1"/>
  <c r="J465" i="1"/>
  <c r="J464" i="1"/>
  <c r="J463" i="1"/>
  <c r="I462" i="1"/>
  <c r="I465" i="1"/>
  <c r="I463" i="1"/>
  <c r="I464" i="1"/>
  <c r="H462" i="1"/>
  <c r="H465" i="1"/>
  <c r="H464" i="1"/>
  <c r="H463" i="1"/>
  <c r="G462" i="1"/>
  <c r="G465" i="1"/>
  <c r="G464" i="1"/>
  <c r="G463" i="1"/>
  <c r="F462" i="1"/>
  <c r="F465" i="1"/>
  <c r="F464" i="1"/>
  <c r="F463" i="1"/>
  <c r="E1052" i="1" l="1"/>
  <c r="D1053" i="1"/>
  <c r="E1075" i="1"/>
  <c r="E1054" i="1"/>
  <c r="E1096" i="1"/>
  <c r="E1018" i="1"/>
  <c r="E1069" i="1"/>
  <c r="E1060" i="1"/>
  <c r="E539" i="1"/>
  <c r="E1045" i="1"/>
  <c r="D1096" i="1"/>
  <c r="D1018" i="1"/>
  <c r="D1054" i="1"/>
  <c r="D1069" i="1"/>
  <c r="D1075" i="1"/>
  <c r="J461" i="1"/>
  <c r="I461" i="1"/>
  <c r="H461" i="1"/>
  <c r="G461" i="1"/>
  <c r="J460" i="1"/>
  <c r="I460" i="1"/>
  <c r="H460" i="1"/>
  <c r="G460" i="1"/>
  <c r="F460" i="1"/>
  <c r="J434" i="1"/>
  <c r="I434" i="1"/>
  <c r="H434" i="1"/>
  <c r="G434" i="1"/>
  <c r="F434" i="1"/>
  <c r="F433" i="1"/>
  <c r="G433" i="1"/>
  <c r="H433" i="1"/>
  <c r="I433" i="1"/>
  <c r="J433" i="1"/>
  <c r="J432" i="1"/>
  <c r="I432" i="1"/>
  <c r="H432" i="1"/>
  <c r="G432" i="1"/>
  <c r="F432" i="1"/>
  <c r="D1060" i="1" l="1"/>
  <c r="D1052" i="1"/>
  <c r="D1045" i="1"/>
  <c r="J431" i="1"/>
  <c r="I431" i="1"/>
  <c r="H431" i="1"/>
  <c r="G431" i="1"/>
  <c r="F431" i="1"/>
  <c r="J430" i="1"/>
  <c r="I430" i="1"/>
  <c r="H430" i="1"/>
  <c r="G430" i="1"/>
  <c r="F430" i="1"/>
  <c r="J429" i="1"/>
  <c r="I429" i="1"/>
  <c r="H429" i="1"/>
  <c r="G429" i="1"/>
  <c r="F429" i="1"/>
  <c r="O428" i="1"/>
  <c r="J428" i="1"/>
  <c r="J427" i="1"/>
  <c r="J426" i="1"/>
  <c r="J422" i="1"/>
  <c r="J421" i="1"/>
  <c r="J419" i="1"/>
  <c r="J418" i="1"/>
  <c r="J420" i="1"/>
  <c r="J416" i="1"/>
  <c r="I428" i="1"/>
  <c r="I427" i="1"/>
  <c r="I426" i="1"/>
  <c r="I422" i="1"/>
  <c r="I421" i="1"/>
  <c r="I419" i="1"/>
  <c r="I418" i="1"/>
  <c r="I420" i="1"/>
  <c r="I416" i="1"/>
  <c r="H428" i="1"/>
  <c r="H427" i="1"/>
  <c r="H426" i="1"/>
  <c r="H422" i="1"/>
  <c r="H421" i="1"/>
  <c r="H419" i="1"/>
  <c r="H418" i="1"/>
  <c r="H420" i="1"/>
  <c r="H416" i="1"/>
  <c r="G428" i="1"/>
  <c r="G427" i="1"/>
  <c r="G426" i="1"/>
  <c r="G422" i="1"/>
  <c r="G421" i="1"/>
  <c r="G419" i="1"/>
  <c r="G418" i="1"/>
  <c r="G420" i="1"/>
  <c r="G416" i="1"/>
  <c r="F428" i="1"/>
  <c r="F427" i="1"/>
  <c r="F426" i="1"/>
  <c r="F422" i="1"/>
  <c r="F421" i="1"/>
  <c r="F419" i="1"/>
  <c r="F418" i="1"/>
  <c r="F420" i="1"/>
  <c r="F416" i="1"/>
  <c r="S2356" i="1"/>
  <c r="S2333" i="1" s="1"/>
  <c r="S1890" i="1" s="1"/>
  <c r="Q2356" i="1"/>
  <c r="Q2333" i="1" s="1"/>
  <c r="Q1890" i="1" s="1"/>
  <c r="E2356" i="1"/>
  <c r="D2356" i="1" s="1"/>
  <c r="B2356" i="1"/>
  <c r="J413" i="1"/>
  <c r="J412" i="1"/>
  <c r="J411" i="1"/>
  <c r="J410" i="1"/>
  <c r="I413" i="1"/>
  <c r="I412" i="1"/>
  <c r="I411" i="1"/>
  <c r="I410" i="1"/>
  <c r="H413" i="1"/>
  <c r="H412" i="1"/>
  <c r="H411" i="1"/>
  <c r="H410" i="1"/>
  <c r="G413" i="1"/>
  <c r="G412" i="1"/>
  <c r="G411" i="1"/>
  <c r="G410" i="1"/>
  <c r="F413" i="1"/>
  <c r="F412" i="1"/>
  <c r="F411" i="1"/>
  <c r="F410" i="1"/>
  <c r="O410" i="1"/>
  <c r="J409" i="1"/>
  <c r="J408" i="1"/>
  <c r="J407" i="1"/>
  <c r="J406" i="1"/>
  <c r="I409" i="1"/>
  <c r="I408" i="1"/>
  <c r="I407" i="1"/>
  <c r="I406" i="1"/>
  <c r="H409" i="1"/>
  <c r="H408" i="1"/>
  <c r="H407" i="1"/>
  <c r="H406" i="1"/>
  <c r="G409" i="1"/>
  <c r="G408" i="1"/>
  <c r="G407" i="1"/>
  <c r="G405" i="1"/>
  <c r="F409" i="1"/>
  <c r="F408" i="1"/>
  <c r="F407" i="1"/>
  <c r="F406" i="1"/>
  <c r="G406" i="1"/>
  <c r="J405" i="1"/>
  <c r="I405" i="1"/>
  <c r="H405" i="1"/>
  <c r="F405" i="1"/>
  <c r="J404" i="1"/>
  <c r="I404" i="1"/>
  <c r="H404" i="1"/>
  <c r="G404" i="1"/>
  <c r="F404" i="1"/>
  <c r="J401" i="1"/>
  <c r="I401" i="1"/>
  <c r="H401" i="1"/>
  <c r="G401" i="1"/>
  <c r="F401" i="1"/>
  <c r="E2333" i="1" l="1"/>
  <c r="E1890" i="1" s="1"/>
  <c r="D2333" i="1"/>
  <c r="J390" i="1"/>
  <c r="J389" i="1"/>
  <c r="J387" i="1"/>
  <c r="I390" i="1"/>
  <c r="I389" i="1"/>
  <c r="I387" i="1"/>
  <c r="H390" i="1"/>
  <c r="H389" i="1"/>
  <c r="H387" i="1"/>
  <c r="G390" i="1"/>
  <c r="G389" i="1"/>
  <c r="G387" i="1"/>
  <c r="F390" i="1"/>
  <c r="F389" i="1"/>
  <c r="F387" i="1"/>
  <c r="F386" i="1"/>
  <c r="G386" i="1"/>
  <c r="H386" i="1"/>
  <c r="I386" i="1"/>
  <c r="J386" i="1"/>
  <c r="E1531" i="1"/>
  <c r="B1531" i="1"/>
  <c r="J384" i="1"/>
  <c r="H384" i="1"/>
  <c r="G384" i="1"/>
  <c r="J382" i="1"/>
  <c r="J394" i="1"/>
  <c r="J393" i="1"/>
  <c r="J392" i="1"/>
  <c r="J391" i="1"/>
  <c r="J381" i="1"/>
  <c r="I382" i="1"/>
  <c r="I394" i="1"/>
  <c r="I393" i="1"/>
  <c r="I392" i="1"/>
  <c r="I391" i="1"/>
  <c r="I381" i="1"/>
  <c r="H382" i="1"/>
  <c r="H394" i="1"/>
  <c r="H393" i="1"/>
  <c r="H392" i="1"/>
  <c r="H391" i="1"/>
  <c r="H381" i="1"/>
  <c r="G382" i="1"/>
  <c r="G394" i="1"/>
  <c r="G393" i="1"/>
  <c r="G392" i="1"/>
  <c r="G391" i="1"/>
  <c r="G381" i="1"/>
  <c r="F382" i="1"/>
  <c r="F394" i="1"/>
  <c r="F393" i="1"/>
  <c r="F392" i="1"/>
  <c r="F391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E1523" i="1" l="1"/>
  <c r="D1531" i="1"/>
  <c r="F366" i="1"/>
  <c r="H366" i="1"/>
  <c r="I366" i="1"/>
  <c r="J366" i="1"/>
  <c r="G366" i="1"/>
  <c r="D1523" i="1"/>
  <c r="O368" i="1"/>
  <c r="O366" i="1" s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91" i="1"/>
  <c r="E392" i="1"/>
  <c r="E393" i="1"/>
  <c r="E394" i="1"/>
  <c r="E382" i="1"/>
  <c r="E384" i="1"/>
  <c r="E386" i="1"/>
  <c r="E387" i="1"/>
  <c r="E389" i="1"/>
  <c r="E390" i="1"/>
  <c r="E401" i="1"/>
  <c r="E404" i="1"/>
  <c r="E405" i="1"/>
  <c r="E406" i="1"/>
  <c r="E407" i="1"/>
  <c r="E408" i="1"/>
  <c r="E409" i="1"/>
  <c r="E410" i="1"/>
  <c r="E411" i="1"/>
  <c r="E412" i="1"/>
  <c r="E413" i="1"/>
  <c r="E416" i="1"/>
  <c r="E420" i="1"/>
  <c r="E418" i="1"/>
  <c r="E419" i="1"/>
  <c r="E421" i="1"/>
  <c r="E422" i="1"/>
  <c r="E426" i="1"/>
  <c r="E427" i="1"/>
  <c r="E428" i="1"/>
  <c r="E429" i="1"/>
  <c r="E430" i="1"/>
  <c r="E431" i="1"/>
  <c r="E432" i="1"/>
  <c r="E433" i="1"/>
  <c r="E434" i="1"/>
  <c r="E460" i="1"/>
  <c r="E461" i="1"/>
  <c r="E463" i="1"/>
  <c r="E464" i="1"/>
  <c r="E465" i="1"/>
  <c r="E462" i="1"/>
  <c r="E466" i="1"/>
  <c r="E467" i="1"/>
  <c r="E468" i="1"/>
  <c r="E471" i="1"/>
  <c r="E474" i="1"/>
  <c r="E478" i="1"/>
  <c r="E484" i="1"/>
  <c r="E495" i="1"/>
  <c r="E496" i="1"/>
  <c r="E497" i="1"/>
  <c r="E485" i="1"/>
  <c r="E486" i="1"/>
  <c r="E487" i="1"/>
  <c r="E488" i="1"/>
  <c r="E489" i="1"/>
  <c r="E490" i="1"/>
  <c r="E491" i="1"/>
  <c r="E492" i="1"/>
  <c r="E493" i="1"/>
  <c r="E494" i="1"/>
  <c r="E498" i="1"/>
  <c r="E499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30" i="1"/>
  <c r="E525" i="1"/>
  <c r="E526" i="1"/>
  <c r="E527" i="1"/>
  <c r="E528" i="1"/>
  <c r="E529" i="1"/>
  <c r="E535" i="1"/>
  <c r="E536" i="1"/>
  <c r="E537" i="1"/>
  <c r="E538" i="1"/>
  <c r="E540" i="1"/>
  <c r="E541" i="1"/>
  <c r="E532" i="1"/>
  <c r="E533" i="1"/>
  <c r="E534" i="1"/>
  <c r="E542" i="1"/>
  <c r="E543" i="1"/>
  <c r="E545" i="1"/>
  <c r="E546" i="1"/>
  <c r="E547" i="1"/>
  <c r="E548" i="1"/>
  <c r="E549" i="1"/>
  <c r="E551" i="1"/>
  <c r="E550" i="1"/>
  <c r="E553" i="1"/>
  <c r="E554" i="1"/>
  <c r="E555" i="1"/>
  <c r="E556" i="1"/>
  <c r="E557" i="1"/>
  <c r="E558" i="1"/>
  <c r="E559" i="1"/>
  <c r="E561" i="1"/>
  <c r="E562" i="1"/>
  <c r="E563" i="1"/>
  <c r="E564" i="1"/>
  <c r="E565" i="1"/>
  <c r="E566" i="1"/>
  <c r="E567" i="1"/>
  <c r="E582" i="1"/>
  <c r="E583" i="1"/>
  <c r="E593" i="1"/>
  <c r="E594" i="1"/>
  <c r="E595" i="1"/>
  <c r="E596" i="1"/>
  <c r="E597" i="1"/>
  <c r="E598" i="1"/>
  <c r="E599" i="1"/>
  <c r="E600" i="1"/>
  <c r="E601" i="1"/>
  <c r="E603" i="1"/>
  <c r="E604" i="1"/>
  <c r="E605" i="1"/>
  <c r="E606" i="1"/>
  <c r="E607" i="1"/>
  <c r="E608" i="1"/>
  <c r="E609" i="1"/>
  <c r="E610" i="1"/>
  <c r="E611" i="1"/>
  <c r="E612" i="1"/>
  <c r="E614" i="1"/>
  <c r="E615" i="1"/>
  <c r="E616" i="1"/>
  <c r="E617" i="1"/>
  <c r="E618" i="1"/>
  <c r="E619" i="1"/>
  <c r="E622" i="1"/>
  <c r="E623" i="1"/>
  <c r="E624" i="1"/>
  <c r="E625" i="1"/>
  <c r="E626" i="1"/>
  <c r="E627" i="1"/>
  <c r="E629" i="1"/>
  <c r="E631" i="1"/>
  <c r="E632" i="1"/>
  <c r="E633" i="1"/>
  <c r="E634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1" i="1"/>
  <c r="E655" i="1"/>
  <c r="E656" i="1"/>
  <c r="E657" i="1"/>
  <c r="E659" i="1"/>
  <c r="E660" i="1"/>
  <c r="E661" i="1"/>
  <c r="E662" i="1"/>
  <c r="E663" i="1"/>
  <c r="E664" i="1"/>
  <c r="E665" i="1"/>
  <c r="E666" i="1"/>
  <c r="E667" i="1"/>
  <c r="E680" i="1"/>
  <c r="E681" i="1"/>
  <c r="E682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7" i="1"/>
  <c r="E708" i="1"/>
  <c r="E718" i="1"/>
  <c r="E719" i="1"/>
  <c r="E720" i="1"/>
  <c r="E721" i="1"/>
  <c r="E722" i="1"/>
  <c r="E723" i="1"/>
  <c r="E724" i="1"/>
  <c r="E726" i="1"/>
  <c r="E736" i="1"/>
  <c r="E737" i="1"/>
  <c r="E742" i="1"/>
  <c r="E743" i="1"/>
  <c r="E744" i="1"/>
  <c r="E763" i="1"/>
  <c r="E761" i="1"/>
  <c r="E764" i="1"/>
  <c r="E772" i="1"/>
  <c r="E773" i="1"/>
  <c r="E774" i="1"/>
  <c r="E812" i="1"/>
  <c r="E815" i="1"/>
  <c r="E820" i="1"/>
  <c r="E821" i="1"/>
  <c r="E822" i="1"/>
  <c r="E823" i="1"/>
  <c r="E827" i="1"/>
  <c r="E828" i="1"/>
  <c r="E824" i="1"/>
  <c r="E825" i="1"/>
  <c r="E826" i="1"/>
  <c r="E832" i="1"/>
  <c r="E833" i="1"/>
  <c r="E834" i="1"/>
  <c r="E835" i="1"/>
  <c r="E864" i="1"/>
  <c r="E866" i="1"/>
  <c r="E867" i="1"/>
  <c r="E869" i="1"/>
  <c r="E870" i="1"/>
  <c r="E871" i="1"/>
  <c r="E872" i="1"/>
  <c r="E878" i="1"/>
  <c r="E879" i="1"/>
  <c r="E880" i="1"/>
  <c r="E881" i="1"/>
  <c r="E882" i="1"/>
  <c r="E883" i="1"/>
  <c r="E884" i="1"/>
  <c r="E885" i="1"/>
  <c r="E886" i="1"/>
  <c r="E887" i="1"/>
  <c r="E874" i="1"/>
  <c r="E875" i="1"/>
  <c r="E873" i="1"/>
  <c r="E876" i="1"/>
  <c r="E877" i="1"/>
  <c r="E888" i="1"/>
  <c r="E889" i="1"/>
  <c r="E890" i="1"/>
  <c r="E892" i="1"/>
  <c r="E893" i="1"/>
  <c r="E894" i="1"/>
  <c r="E899" i="1"/>
  <c r="E900" i="1"/>
  <c r="E902" i="1"/>
  <c r="E896" i="1"/>
  <c r="E897" i="1"/>
  <c r="E898" i="1"/>
  <c r="E907" i="1"/>
  <c r="E910" i="1"/>
  <c r="E917" i="1"/>
  <c r="E918" i="1"/>
  <c r="E919" i="1"/>
  <c r="E920" i="1"/>
  <c r="E921" i="1"/>
  <c r="E922" i="1"/>
  <c r="E923" i="1"/>
  <c r="E924" i="1"/>
  <c r="E929" i="1"/>
  <c r="E930" i="1"/>
  <c r="E931" i="1"/>
  <c r="E932" i="1"/>
  <c r="E933" i="1"/>
  <c r="E926" i="1"/>
  <c r="E934" i="1"/>
  <c r="E935" i="1"/>
  <c r="E937" i="1"/>
  <c r="E942" i="1"/>
  <c r="E943" i="1"/>
  <c r="E944" i="1"/>
  <c r="E945" i="1"/>
  <c r="E946" i="1"/>
  <c r="E938" i="1"/>
  <c r="E947" i="1"/>
  <c r="E948" i="1"/>
  <c r="E939" i="1"/>
  <c r="E940" i="1"/>
  <c r="E941" i="1"/>
  <c r="E950" i="1"/>
  <c r="E951" i="1"/>
  <c r="E955" i="1"/>
  <c r="E956" i="1"/>
  <c r="E957" i="1"/>
  <c r="E958" i="1"/>
  <c r="E953" i="1"/>
  <c r="E954" i="1"/>
  <c r="E963" i="1"/>
  <c r="E964" i="1"/>
  <c r="E965" i="1"/>
  <c r="E966" i="1"/>
  <c r="E967" i="1"/>
  <c r="E968" i="1"/>
  <c r="E969" i="1"/>
  <c r="E970" i="1"/>
  <c r="E971" i="1"/>
  <c r="E972" i="1"/>
  <c r="E973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4" i="1"/>
  <c r="E995" i="1"/>
  <c r="E996" i="1"/>
  <c r="E997" i="1"/>
  <c r="E998" i="1"/>
  <c r="E1000" i="1"/>
  <c r="E1001" i="1"/>
  <c r="E999" i="1"/>
  <c r="E1007" i="1"/>
  <c r="E1009" i="1"/>
  <c r="E1015" i="1"/>
  <c r="E1016" i="1"/>
  <c r="E1017" i="1"/>
  <c r="E1012" i="1"/>
  <c r="E1013" i="1"/>
  <c r="E1014" i="1"/>
  <c r="E369" i="1"/>
  <c r="E368" i="1"/>
  <c r="Q371" i="1"/>
  <c r="S371" i="1"/>
  <c r="Q372" i="1"/>
  <c r="S372" i="1"/>
  <c r="Q373" i="1"/>
  <c r="S373" i="1"/>
  <c r="Q374" i="1"/>
  <c r="S374" i="1"/>
  <c r="Q375" i="1"/>
  <c r="S375" i="1"/>
  <c r="Q376" i="1"/>
  <c r="S376" i="1"/>
  <c r="Q377" i="1"/>
  <c r="S377" i="1"/>
  <c r="Q378" i="1"/>
  <c r="S378" i="1"/>
  <c r="Q379" i="1"/>
  <c r="S379" i="1"/>
  <c r="Q380" i="1"/>
  <c r="S380" i="1"/>
  <c r="Q381" i="1"/>
  <c r="S381" i="1"/>
  <c r="Q391" i="1"/>
  <c r="S391" i="1"/>
  <c r="Q392" i="1"/>
  <c r="S392" i="1"/>
  <c r="Q393" i="1"/>
  <c r="S393" i="1"/>
  <c r="Q394" i="1"/>
  <c r="S394" i="1"/>
  <c r="Q382" i="1"/>
  <c r="S382" i="1"/>
  <c r="Q384" i="1"/>
  <c r="S384" i="1"/>
  <c r="Q386" i="1"/>
  <c r="S386" i="1"/>
  <c r="Q387" i="1"/>
  <c r="S387" i="1"/>
  <c r="Q389" i="1"/>
  <c r="S389" i="1"/>
  <c r="Q390" i="1"/>
  <c r="S390" i="1"/>
  <c r="Q401" i="1"/>
  <c r="S401" i="1"/>
  <c r="Q404" i="1"/>
  <c r="S404" i="1"/>
  <c r="Q405" i="1"/>
  <c r="S405" i="1"/>
  <c r="Q406" i="1"/>
  <c r="S406" i="1"/>
  <c r="Q407" i="1"/>
  <c r="S407" i="1"/>
  <c r="Q408" i="1"/>
  <c r="S408" i="1"/>
  <c r="Q409" i="1"/>
  <c r="S409" i="1"/>
  <c r="Q410" i="1"/>
  <c r="S410" i="1"/>
  <c r="Q411" i="1"/>
  <c r="S411" i="1"/>
  <c r="Q412" i="1"/>
  <c r="S412" i="1"/>
  <c r="Q413" i="1"/>
  <c r="S413" i="1"/>
  <c r="Q416" i="1"/>
  <c r="S416" i="1"/>
  <c r="Q420" i="1"/>
  <c r="S420" i="1"/>
  <c r="Q418" i="1"/>
  <c r="S418" i="1"/>
  <c r="Q419" i="1"/>
  <c r="S419" i="1"/>
  <c r="Q421" i="1"/>
  <c r="S421" i="1"/>
  <c r="Q422" i="1"/>
  <c r="S422" i="1"/>
  <c r="Q426" i="1"/>
  <c r="S426" i="1"/>
  <c r="Q427" i="1"/>
  <c r="S427" i="1"/>
  <c r="Q428" i="1"/>
  <c r="S428" i="1"/>
  <c r="Q429" i="1"/>
  <c r="S429" i="1"/>
  <c r="Q430" i="1"/>
  <c r="S430" i="1"/>
  <c r="Q431" i="1"/>
  <c r="S431" i="1"/>
  <c r="Q432" i="1"/>
  <c r="S432" i="1"/>
  <c r="Q433" i="1"/>
  <c r="S433" i="1"/>
  <c r="Q434" i="1"/>
  <c r="S434" i="1"/>
  <c r="Q460" i="1"/>
  <c r="S460" i="1"/>
  <c r="Q461" i="1"/>
  <c r="S461" i="1"/>
  <c r="Q463" i="1"/>
  <c r="S463" i="1"/>
  <c r="Q464" i="1"/>
  <c r="S464" i="1"/>
  <c r="Q465" i="1"/>
  <c r="S465" i="1"/>
  <c r="Q462" i="1"/>
  <c r="S462" i="1"/>
  <c r="Q466" i="1"/>
  <c r="S466" i="1"/>
  <c r="Q467" i="1"/>
  <c r="S467" i="1"/>
  <c r="Q468" i="1"/>
  <c r="S468" i="1"/>
  <c r="Q471" i="1"/>
  <c r="S471" i="1"/>
  <c r="Q474" i="1"/>
  <c r="S474" i="1"/>
  <c r="Q478" i="1"/>
  <c r="S478" i="1"/>
  <c r="Q484" i="1"/>
  <c r="S484" i="1"/>
  <c r="Q495" i="1"/>
  <c r="S495" i="1"/>
  <c r="Q496" i="1"/>
  <c r="S496" i="1"/>
  <c r="Q497" i="1"/>
  <c r="S497" i="1"/>
  <c r="Q485" i="1"/>
  <c r="S485" i="1"/>
  <c r="Q486" i="1"/>
  <c r="S486" i="1"/>
  <c r="Q487" i="1"/>
  <c r="S487" i="1"/>
  <c r="Q488" i="1"/>
  <c r="S488" i="1"/>
  <c r="Q489" i="1"/>
  <c r="S489" i="1"/>
  <c r="Q490" i="1"/>
  <c r="S490" i="1"/>
  <c r="Q491" i="1"/>
  <c r="S491" i="1"/>
  <c r="Q492" i="1"/>
  <c r="S492" i="1"/>
  <c r="Q493" i="1"/>
  <c r="S493" i="1"/>
  <c r="Q494" i="1"/>
  <c r="S494" i="1"/>
  <c r="Q498" i="1"/>
  <c r="S498" i="1"/>
  <c r="Q499" i="1"/>
  <c r="S499" i="1"/>
  <c r="Q501" i="1"/>
  <c r="S501" i="1"/>
  <c r="Q502" i="1"/>
  <c r="S502" i="1"/>
  <c r="Q503" i="1"/>
  <c r="S503" i="1"/>
  <c r="Q504" i="1"/>
  <c r="S504" i="1"/>
  <c r="Q505" i="1"/>
  <c r="S505" i="1"/>
  <c r="Q506" i="1"/>
  <c r="S506" i="1"/>
  <c r="Q507" i="1"/>
  <c r="S507" i="1"/>
  <c r="Q508" i="1"/>
  <c r="S508" i="1"/>
  <c r="Q509" i="1"/>
  <c r="S509" i="1"/>
  <c r="Q510" i="1"/>
  <c r="S510" i="1"/>
  <c r="Q511" i="1"/>
  <c r="S511" i="1"/>
  <c r="Q512" i="1"/>
  <c r="S512" i="1"/>
  <c r="Q513" i="1"/>
  <c r="S513" i="1"/>
  <c r="Q514" i="1"/>
  <c r="S514" i="1"/>
  <c r="Q515" i="1"/>
  <c r="S515" i="1"/>
  <c r="Q516" i="1"/>
  <c r="S516" i="1"/>
  <c r="Q517" i="1"/>
  <c r="S517" i="1"/>
  <c r="Q518" i="1"/>
  <c r="S518" i="1"/>
  <c r="Q519" i="1"/>
  <c r="S519" i="1"/>
  <c r="Q520" i="1"/>
  <c r="S520" i="1"/>
  <c r="Q521" i="1"/>
  <c r="S521" i="1"/>
  <c r="Q530" i="1"/>
  <c r="S530" i="1"/>
  <c r="Q525" i="1"/>
  <c r="S525" i="1"/>
  <c r="Q526" i="1"/>
  <c r="S526" i="1"/>
  <c r="Q527" i="1"/>
  <c r="S527" i="1"/>
  <c r="Q528" i="1"/>
  <c r="S528" i="1"/>
  <c r="Q529" i="1"/>
  <c r="S529" i="1"/>
  <c r="Q535" i="1"/>
  <c r="S535" i="1"/>
  <c r="Q536" i="1"/>
  <c r="S536" i="1"/>
  <c r="Q537" i="1"/>
  <c r="S537" i="1"/>
  <c r="Q538" i="1"/>
  <c r="S538" i="1"/>
  <c r="Q539" i="1"/>
  <c r="D539" i="1" s="1"/>
  <c r="S539" i="1"/>
  <c r="Q540" i="1"/>
  <c r="S540" i="1"/>
  <c r="Q541" i="1"/>
  <c r="S541" i="1"/>
  <c r="Q532" i="1"/>
  <c r="S532" i="1"/>
  <c r="Q533" i="1"/>
  <c r="S533" i="1"/>
  <c r="Q534" i="1"/>
  <c r="S534" i="1"/>
  <c r="Q542" i="1"/>
  <c r="S542" i="1"/>
  <c r="Q543" i="1"/>
  <c r="S543" i="1"/>
  <c r="Q545" i="1"/>
  <c r="S545" i="1"/>
  <c r="Q546" i="1"/>
  <c r="S546" i="1"/>
  <c r="Q547" i="1"/>
  <c r="S547" i="1"/>
  <c r="Q548" i="1"/>
  <c r="S548" i="1"/>
  <c r="Q549" i="1"/>
  <c r="S549" i="1"/>
  <c r="Q551" i="1"/>
  <c r="S551" i="1"/>
  <c r="Q550" i="1"/>
  <c r="S550" i="1"/>
  <c r="Q553" i="1"/>
  <c r="S553" i="1"/>
  <c r="Q554" i="1"/>
  <c r="S554" i="1"/>
  <c r="Q555" i="1"/>
  <c r="S555" i="1"/>
  <c r="Q556" i="1"/>
  <c r="S556" i="1"/>
  <c r="Q557" i="1"/>
  <c r="S557" i="1"/>
  <c r="Q558" i="1"/>
  <c r="S558" i="1"/>
  <c r="Q559" i="1"/>
  <c r="S559" i="1"/>
  <c r="Q561" i="1"/>
  <c r="S561" i="1"/>
  <c r="Q562" i="1"/>
  <c r="S562" i="1"/>
  <c r="Q563" i="1"/>
  <c r="S563" i="1"/>
  <c r="Q564" i="1"/>
  <c r="S564" i="1"/>
  <c r="Q565" i="1"/>
  <c r="S565" i="1"/>
  <c r="Q566" i="1"/>
  <c r="S566" i="1"/>
  <c r="Q567" i="1"/>
  <c r="S567" i="1"/>
  <c r="Q582" i="1"/>
  <c r="S582" i="1"/>
  <c r="Q583" i="1"/>
  <c r="S583" i="1"/>
  <c r="Q593" i="1"/>
  <c r="S593" i="1"/>
  <c r="Q594" i="1"/>
  <c r="S594" i="1"/>
  <c r="Q595" i="1"/>
  <c r="S595" i="1"/>
  <c r="Q596" i="1"/>
  <c r="S596" i="1"/>
  <c r="Q597" i="1"/>
  <c r="S597" i="1"/>
  <c r="Q598" i="1"/>
  <c r="S598" i="1"/>
  <c r="Q599" i="1"/>
  <c r="S599" i="1"/>
  <c r="Q600" i="1"/>
  <c r="S600" i="1"/>
  <c r="Q601" i="1"/>
  <c r="S601" i="1"/>
  <c r="Q603" i="1"/>
  <c r="S603" i="1"/>
  <c r="Q604" i="1"/>
  <c r="S604" i="1"/>
  <c r="Q605" i="1"/>
  <c r="S605" i="1"/>
  <c r="Q606" i="1"/>
  <c r="S606" i="1"/>
  <c r="Q607" i="1"/>
  <c r="S607" i="1"/>
  <c r="Q608" i="1"/>
  <c r="S608" i="1"/>
  <c r="Q609" i="1"/>
  <c r="S609" i="1"/>
  <c r="Q610" i="1"/>
  <c r="S610" i="1"/>
  <c r="Q611" i="1"/>
  <c r="S611" i="1"/>
  <c r="Q612" i="1"/>
  <c r="S612" i="1"/>
  <c r="Q614" i="1"/>
  <c r="S614" i="1"/>
  <c r="Q615" i="1"/>
  <c r="S615" i="1"/>
  <c r="Q616" i="1"/>
  <c r="S616" i="1"/>
  <c r="Q617" i="1"/>
  <c r="S617" i="1"/>
  <c r="Q618" i="1"/>
  <c r="S618" i="1"/>
  <c r="Q619" i="1"/>
  <c r="S619" i="1"/>
  <c r="Q622" i="1"/>
  <c r="S622" i="1"/>
  <c r="Q623" i="1"/>
  <c r="S623" i="1"/>
  <c r="Q624" i="1"/>
  <c r="S624" i="1"/>
  <c r="Q625" i="1"/>
  <c r="S625" i="1"/>
  <c r="Q626" i="1"/>
  <c r="S626" i="1"/>
  <c r="Q627" i="1"/>
  <c r="S627" i="1"/>
  <c r="Q629" i="1"/>
  <c r="S629" i="1"/>
  <c r="Q631" i="1"/>
  <c r="S631" i="1"/>
  <c r="Q632" i="1"/>
  <c r="S632" i="1"/>
  <c r="Q633" i="1"/>
  <c r="S633" i="1"/>
  <c r="Q634" i="1"/>
  <c r="S634" i="1"/>
  <c r="Q636" i="1"/>
  <c r="S636" i="1"/>
  <c r="Q637" i="1"/>
  <c r="S637" i="1"/>
  <c r="Q638" i="1"/>
  <c r="S638" i="1"/>
  <c r="Q639" i="1"/>
  <c r="S639" i="1"/>
  <c r="Q640" i="1"/>
  <c r="S640" i="1"/>
  <c r="Q641" i="1"/>
  <c r="S641" i="1"/>
  <c r="Q642" i="1"/>
  <c r="S642" i="1"/>
  <c r="Q643" i="1"/>
  <c r="S643" i="1"/>
  <c r="Q644" i="1"/>
  <c r="S644" i="1"/>
  <c r="Q645" i="1"/>
  <c r="S645" i="1"/>
  <c r="Q646" i="1"/>
  <c r="S646" i="1"/>
  <c r="Q647" i="1"/>
  <c r="S647" i="1"/>
  <c r="Q648" i="1"/>
  <c r="S648" i="1"/>
  <c r="Q649" i="1"/>
  <c r="S649" i="1"/>
  <c r="Q651" i="1"/>
  <c r="S651" i="1"/>
  <c r="Q655" i="1"/>
  <c r="S655" i="1"/>
  <c r="Q656" i="1"/>
  <c r="S656" i="1"/>
  <c r="Q657" i="1"/>
  <c r="S657" i="1"/>
  <c r="Q659" i="1"/>
  <c r="S659" i="1"/>
  <c r="Q660" i="1"/>
  <c r="S660" i="1"/>
  <c r="Q661" i="1"/>
  <c r="S661" i="1"/>
  <c r="Q662" i="1"/>
  <c r="S662" i="1"/>
  <c r="Q663" i="1"/>
  <c r="S663" i="1"/>
  <c r="Q664" i="1"/>
  <c r="S664" i="1"/>
  <c r="Q665" i="1"/>
  <c r="S665" i="1"/>
  <c r="Q666" i="1"/>
  <c r="S666" i="1"/>
  <c r="Q667" i="1"/>
  <c r="S667" i="1"/>
  <c r="Q680" i="1"/>
  <c r="S680" i="1"/>
  <c r="Q681" i="1"/>
  <c r="S681" i="1"/>
  <c r="Q682" i="1"/>
  <c r="S682" i="1"/>
  <c r="Q689" i="1"/>
  <c r="S689" i="1"/>
  <c r="Q690" i="1"/>
  <c r="S690" i="1"/>
  <c r="Q691" i="1"/>
  <c r="S691" i="1"/>
  <c r="Q692" i="1"/>
  <c r="S692" i="1"/>
  <c r="Q693" i="1"/>
  <c r="S693" i="1"/>
  <c r="Q694" i="1"/>
  <c r="S694" i="1"/>
  <c r="Q695" i="1"/>
  <c r="S695" i="1"/>
  <c r="Q696" i="1"/>
  <c r="S696" i="1"/>
  <c r="Q697" i="1"/>
  <c r="S697" i="1"/>
  <c r="Q698" i="1"/>
  <c r="S698" i="1"/>
  <c r="Q699" i="1"/>
  <c r="S699" i="1"/>
  <c r="Q700" i="1"/>
  <c r="S700" i="1"/>
  <c r="Q701" i="1"/>
  <c r="S701" i="1"/>
  <c r="Q702" i="1"/>
  <c r="S702" i="1"/>
  <c r="Q703" i="1"/>
  <c r="S703" i="1"/>
  <c r="Q704" i="1"/>
  <c r="S704" i="1"/>
  <c r="Q705" i="1"/>
  <c r="S705" i="1"/>
  <c r="Q707" i="1"/>
  <c r="S707" i="1"/>
  <c r="Q708" i="1"/>
  <c r="S708" i="1"/>
  <c r="Q718" i="1"/>
  <c r="S718" i="1"/>
  <c r="Q719" i="1"/>
  <c r="S719" i="1"/>
  <c r="Q720" i="1"/>
  <c r="S720" i="1"/>
  <c r="Q721" i="1"/>
  <c r="S721" i="1"/>
  <c r="Q722" i="1"/>
  <c r="S722" i="1"/>
  <c r="Q723" i="1"/>
  <c r="S723" i="1"/>
  <c r="Q724" i="1"/>
  <c r="S724" i="1"/>
  <c r="Q726" i="1"/>
  <c r="S726" i="1"/>
  <c r="Q736" i="1"/>
  <c r="S736" i="1"/>
  <c r="Q737" i="1"/>
  <c r="S737" i="1"/>
  <c r="Q742" i="1"/>
  <c r="S742" i="1"/>
  <c r="Q743" i="1"/>
  <c r="S743" i="1"/>
  <c r="Q744" i="1"/>
  <c r="S744" i="1"/>
  <c r="Q763" i="1"/>
  <c r="S763" i="1"/>
  <c r="Q761" i="1"/>
  <c r="S761" i="1"/>
  <c r="Q764" i="1"/>
  <c r="S764" i="1"/>
  <c r="Q772" i="1"/>
  <c r="S772" i="1"/>
  <c r="Q773" i="1"/>
  <c r="S773" i="1"/>
  <c r="Q774" i="1"/>
  <c r="S774" i="1"/>
  <c r="Q812" i="1"/>
  <c r="S812" i="1"/>
  <c r="Q815" i="1"/>
  <c r="S815" i="1"/>
  <c r="Q820" i="1"/>
  <c r="S820" i="1"/>
  <c r="Q821" i="1"/>
  <c r="S821" i="1"/>
  <c r="Q822" i="1"/>
  <c r="S822" i="1"/>
  <c r="Q823" i="1"/>
  <c r="S823" i="1"/>
  <c r="Q827" i="1"/>
  <c r="S827" i="1"/>
  <c r="Q828" i="1"/>
  <c r="S828" i="1"/>
  <c r="Q824" i="1"/>
  <c r="S824" i="1"/>
  <c r="Q825" i="1"/>
  <c r="S825" i="1"/>
  <c r="Q826" i="1"/>
  <c r="S826" i="1"/>
  <c r="Q832" i="1"/>
  <c r="S832" i="1"/>
  <c r="Q833" i="1"/>
  <c r="S833" i="1"/>
  <c r="Q834" i="1"/>
  <c r="S834" i="1"/>
  <c r="Q835" i="1"/>
  <c r="S835" i="1"/>
  <c r="Q864" i="1"/>
  <c r="S864" i="1"/>
  <c r="Q866" i="1"/>
  <c r="S866" i="1"/>
  <c r="Q867" i="1"/>
  <c r="S867" i="1"/>
  <c r="Q869" i="1"/>
  <c r="S869" i="1"/>
  <c r="Q870" i="1"/>
  <c r="S870" i="1"/>
  <c r="Q871" i="1"/>
  <c r="S871" i="1"/>
  <c r="Q872" i="1"/>
  <c r="S872" i="1"/>
  <c r="Q878" i="1"/>
  <c r="S878" i="1"/>
  <c r="Q879" i="1"/>
  <c r="S879" i="1"/>
  <c r="Q880" i="1"/>
  <c r="S880" i="1"/>
  <c r="Q881" i="1"/>
  <c r="S881" i="1"/>
  <c r="Q882" i="1"/>
  <c r="S882" i="1"/>
  <c r="Q883" i="1"/>
  <c r="S883" i="1"/>
  <c r="Q884" i="1"/>
  <c r="S884" i="1"/>
  <c r="Q885" i="1"/>
  <c r="S885" i="1"/>
  <c r="Q886" i="1"/>
  <c r="S886" i="1"/>
  <c r="Q887" i="1"/>
  <c r="S887" i="1"/>
  <c r="S874" i="1"/>
  <c r="Q875" i="1"/>
  <c r="S875" i="1"/>
  <c r="Q873" i="1"/>
  <c r="S873" i="1"/>
  <c r="Q876" i="1"/>
  <c r="S876" i="1"/>
  <c r="Q877" i="1"/>
  <c r="S877" i="1"/>
  <c r="Q888" i="1"/>
  <c r="S888" i="1"/>
  <c r="Q889" i="1"/>
  <c r="S889" i="1"/>
  <c r="Q890" i="1"/>
  <c r="S890" i="1"/>
  <c r="Q892" i="1"/>
  <c r="S892" i="1"/>
  <c r="Q893" i="1"/>
  <c r="S893" i="1"/>
  <c r="Q894" i="1"/>
  <c r="S894" i="1"/>
  <c r="Q899" i="1"/>
  <c r="S899" i="1"/>
  <c r="Q900" i="1"/>
  <c r="S900" i="1"/>
  <c r="Q902" i="1"/>
  <c r="S902" i="1"/>
  <c r="Q896" i="1"/>
  <c r="S896" i="1"/>
  <c r="Q897" i="1"/>
  <c r="S897" i="1"/>
  <c r="Q898" i="1"/>
  <c r="S898" i="1"/>
  <c r="Q907" i="1"/>
  <c r="S907" i="1"/>
  <c r="Q910" i="1"/>
  <c r="S910" i="1"/>
  <c r="Q917" i="1"/>
  <c r="S917" i="1"/>
  <c r="Q918" i="1"/>
  <c r="S918" i="1"/>
  <c r="Q919" i="1"/>
  <c r="S919" i="1"/>
  <c r="Q920" i="1"/>
  <c r="S920" i="1"/>
  <c r="Q921" i="1"/>
  <c r="S921" i="1"/>
  <c r="Q922" i="1"/>
  <c r="S922" i="1"/>
  <c r="Q923" i="1"/>
  <c r="S923" i="1"/>
  <c r="Q924" i="1"/>
  <c r="S924" i="1"/>
  <c r="Q929" i="1"/>
  <c r="S929" i="1"/>
  <c r="Q930" i="1"/>
  <c r="S930" i="1"/>
  <c r="Q931" i="1"/>
  <c r="S931" i="1"/>
  <c r="Q932" i="1"/>
  <c r="S932" i="1"/>
  <c r="Q933" i="1"/>
  <c r="S933" i="1"/>
  <c r="Q926" i="1"/>
  <c r="S926" i="1"/>
  <c r="Q934" i="1"/>
  <c r="S934" i="1"/>
  <c r="Q935" i="1"/>
  <c r="S935" i="1"/>
  <c r="Q937" i="1"/>
  <c r="S937" i="1"/>
  <c r="Q942" i="1"/>
  <c r="S942" i="1"/>
  <c r="Q943" i="1"/>
  <c r="S943" i="1"/>
  <c r="Q944" i="1"/>
  <c r="S944" i="1"/>
  <c r="Q945" i="1"/>
  <c r="S945" i="1"/>
  <c r="Q946" i="1"/>
  <c r="S946" i="1"/>
  <c r="Q938" i="1"/>
  <c r="S938" i="1"/>
  <c r="Q947" i="1"/>
  <c r="S947" i="1"/>
  <c r="Q948" i="1"/>
  <c r="S948" i="1"/>
  <c r="Q939" i="1"/>
  <c r="S939" i="1"/>
  <c r="Q940" i="1"/>
  <c r="S940" i="1"/>
  <c r="Q941" i="1"/>
  <c r="S941" i="1"/>
  <c r="Q950" i="1"/>
  <c r="S950" i="1"/>
  <c r="Q951" i="1"/>
  <c r="S951" i="1"/>
  <c r="Q955" i="1"/>
  <c r="S955" i="1"/>
  <c r="Q956" i="1"/>
  <c r="S956" i="1"/>
  <c r="Q957" i="1"/>
  <c r="S957" i="1"/>
  <c r="Q958" i="1"/>
  <c r="S958" i="1"/>
  <c r="Q953" i="1"/>
  <c r="S953" i="1"/>
  <c r="Q954" i="1"/>
  <c r="S954" i="1"/>
  <c r="Q963" i="1"/>
  <c r="S963" i="1"/>
  <c r="Q964" i="1"/>
  <c r="S964" i="1"/>
  <c r="Q965" i="1"/>
  <c r="S965" i="1"/>
  <c r="Q966" i="1"/>
  <c r="S966" i="1"/>
  <c r="Q967" i="1"/>
  <c r="S967" i="1"/>
  <c r="Q968" i="1"/>
  <c r="S968" i="1"/>
  <c r="Q969" i="1"/>
  <c r="S969" i="1"/>
  <c r="Q970" i="1"/>
  <c r="S970" i="1"/>
  <c r="Q971" i="1"/>
  <c r="S971" i="1"/>
  <c r="Q972" i="1"/>
  <c r="S972" i="1"/>
  <c r="Q973" i="1"/>
  <c r="S973" i="1"/>
  <c r="Q975" i="1"/>
  <c r="S975" i="1"/>
  <c r="Q976" i="1"/>
  <c r="S976" i="1"/>
  <c r="Q977" i="1"/>
  <c r="S977" i="1"/>
  <c r="Q978" i="1"/>
  <c r="S978" i="1"/>
  <c r="Q979" i="1"/>
  <c r="S979" i="1"/>
  <c r="Q980" i="1"/>
  <c r="S980" i="1"/>
  <c r="Q981" i="1"/>
  <c r="S981" i="1"/>
  <c r="Q982" i="1"/>
  <c r="S982" i="1"/>
  <c r="Q983" i="1"/>
  <c r="S983" i="1"/>
  <c r="Q984" i="1"/>
  <c r="S984" i="1"/>
  <c r="Q985" i="1"/>
  <c r="S985" i="1"/>
  <c r="Q986" i="1"/>
  <c r="S986" i="1"/>
  <c r="Q987" i="1"/>
  <c r="S987" i="1"/>
  <c r="Q988" i="1"/>
  <c r="S988" i="1"/>
  <c r="Q989" i="1"/>
  <c r="S989" i="1"/>
  <c r="Q990" i="1"/>
  <c r="S990" i="1"/>
  <c r="Q991" i="1"/>
  <c r="S991" i="1"/>
  <c r="Q992" i="1"/>
  <c r="S992" i="1"/>
  <c r="Q994" i="1"/>
  <c r="S994" i="1"/>
  <c r="Q995" i="1"/>
  <c r="S995" i="1"/>
  <c r="Q996" i="1"/>
  <c r="S996" i="1"/>
  <c r="Q997" i="1"/>
  <c r="S997" i="1"/>
  <c r="Q998" i="1"/>
  <c r="S998" i="1"/>
  <c r="Q1000" i="1"/>
  <c r="S1000" i="1"/>
  <c r="Q1001" i="1"/>
  <c r="S1001" i="1"/>
  <c r="Q999" i="1"/>
  <c r="S999" i="1"/>
  <c r="Q1007" i="1"/>
  <c r="S1007" i="1"/>
  <c r="Q1009" i="1"/>
  <c r="S1009" i="1"/>
  <c r="Q1015" i="1"/>
  <c r="S1015" i="1"/>
  <c r="Q1016" i="1"/>
  <c r="S1016" i="1"/>
  <c r="Q1017" i="1"/>
  <c r="S1017" i="1"/>
  <c r="Q1012" i="1"/>
  <c r="S1012" i="1"/>
  <c r="Q1013" i="1"/>
  <c r="S1013" i="1"/>
  <c r="Q1014" i="1"/>
  <c r="S1014" i="1"/>
  <c r="S370" i="1"/>
  <c r="Q370" i="1"/>
  <c r="S369" i="1"/>
  <c r="Q369" i="1"/>
  <c r="Q368" i="1"/>
  <c r="S368" i="1"/>
  <c r="O362" i="1"/>
  <c r="O361" i="1"/>
  <c r="F362" i="1"/>
  <c r="F361" i="1"/>
  <c r="H362" i="1"/>
  <c r="H361" i="1"/>
  <c r="O360" i="1"/>
  <c r="J360" i="1"/>
  <c r="H360" i="1"/>
  <c r="F360" i="1"/>
  <c r="O359" i="1"/>
  <c r="O358" i="1"/>
  <c r="J359" i="1"/>
  <c r="J358" i="1"/>
  <c r="H359" i="1"/>
  <c r="H358" i="1"/>
  <c r="F359" i="1"/>
  <c r="F358" i="1"/>
  <c r="F355" i="1"/>
  <c r="O355" i="1"/>
  <c r="O354" i="1"/>
  <c r="F354" i="1"/>
  <c r="G354" i="1"/>
  <c r="H354" i="1"/>
  <c r="I354" i="1"/>
  <c r="J354" i="1"/>
  <c r="O351" i="1"/>
  <c r="O350" i="1"/>
  <c r="F351" i="1"/>
  <c r="F350" i="1"/>
  <c r="O349" i="1"/>
  <c r="O353" i="1"/>
  <c r="O352" i="1"/>
  <c r="F349" i="1"/>
  <c r="F353" i="1"/>
  <c r="F352" i="1"/>
  <c r="H348" i="1"/>
  <c r="F348" i="1"/>
  <c r="O348" i="1"/>
  <c r="J347" i="1"/>
  <c r="J346" i="1"/>
  <c r="H347" i="1"/>
  <c r="H346" i="1"/>
  <c r="F347" i="1"/>
  <c r="F346" i="1"/>
  <c r="O347" i="1"/>
  <c r="O346" i="1"/>
  <c r="O345" i="1"/>
  <c r="J345" i="1"/>
  <c r="H345" i="1"/>
  <c r="F345" i="1"/>
  <c r="F342" i="1"/>
  <c r="H342" i="1"/>
  <c r="J342" i="1"/>
  <c r="O341" i="1"/>
  <c r="F341" i="1"/>
  <c r="H341" i="1"/>
  <c r="J341" i="1"/>
  <c r="O335" i="1"/>
  <c r="H334" i="1"/>
  <c r="J334" i="1"/>
  <c r="O331" i="1"/>
  <c r="F331" i="1"/>
  <c r="G331" i="1"/>
  <c r="H331" i="1"/>
  <c r="J331" i="1"/>
  <c r="O330" i="1"/>
  <c r="H330" i="1"/>
  <c r="G330" i="1"/>
  <c r="F330" i="1"/>
  <c r="J330" i="1"/>
  <c r="O328" i="1"/>
  <c r="J329" i="1"/>
  <c r="H329" i="1"/>
  <c r="G329" i="1"/>
  <c r="F329" i="1"/>
  <c r="F325" i="1"/>
  <c r="G325" i="1"/>
  <c r="H325" i="1"/>
  <c r="J325" i="1"/>
  <c r="O324" i="1"/>
  <c r="J324" i="1"/>
  <c r="H324" i="1"/>
  <c r="G324" i="1"/>
  <c r="F324" i="1"/>
  <c r="D368" i="1" l="1"/>
  <c r="D1012" i="1"/>
  <c r="D1009" i="1"/>
  <c r="D1000" i="1"/>
  <c r="D995" i="1"/>
  <c r="D990" i="1"/>
  <c r="D986" i="1"/>
  <c r="D982" i="1"/>
  <c r="D978" i="1"/>
  <c r="D1013" i="1"/>
  <c r="D1015" i="1"/>
  <c r="D1001" i="1"/>
  <c r="D996" i="1"/>
  <c r="D991" i="1"/>
  <c r="D987" i="1"/>
  <c r="D983" i="1"/>
  <c r="D979" i="1"/>
  <c r="D973" i="1"/>
  <c r="D969" i="1"/>
  <c r="D965" i="1"/>
  <c r="D953" i="1"/>
  <c r="D955" i="1"/>
  <c r="D940" i="1"/>
  <c r="D938" i="1"/>
  <c r="D943" i="1"/>
  <c r="D934" i="1"/>
  <c r="D931" i="1"/>
  <c r="D923" i="1"/>
  <c r="D919" i="1"/>
  <c r="D907" i="1"/>
  <c r="D902" i="1"/>
  <c r="D893" i="1"/>
  <c r="D888" i="1"/>
  <c r="D875" i="1"/>
  <c r="D885" i="1"/>
  <c r="D881" i="1"/>
  <c r="D872" i="1"/>
  <c r="D867" i="1"/>
  <c r="D834" i="1"/>
  <c r="D825" i="1"/>
  <c r="D823" i="1"/>
  <c r="D815" i="1"/>
  <c r="D772" i="1"/>
  <c r="D744" i="1"/>
  <c r="D736" i="1"/>
  <c r="D722" i="1"/>
  <c r="D718" i="1"/>
  <c r="D704" i="1"/>
  <c r="D700" i="1"/>
  <c r="D696" i="1"/>
  <c r="D692" i="1"/>
  <c r="D682" i="1"/>
  <c r="D666" i="1"/>
  <c r="D662" i="1"/>
  <c r="D657" i="1"/>
  <c r="D649" i="1"/>
  <c r="D645" i="1"/>
  <c r="D641" i="1"/>
  <c r="D637" i="1"/>
  <c r="D632" i="1"/>
  <c r="D626" i="1"/>
  <c r="D622" i="1"/>
  <c r="D616" i="1"/>
  <c r="D611" i="1"/>
  <c r="D607" i="1"/>
  <c r="D603" i="1"/>
  <c r="D598" i="1"/>
  <c r="D594" i="1"/>
  <c r="D567" i="1"/>
  <c r="D563" i="1"/>
  <c r="D558" i="1"/>
  <c r="D554" i="1"/>
  <c r="D549" i="1"/>
  <c r="D545" i="1"/>
  <c r="D533" i="1"/>
  <c r="D538" i="1"/>
  <c r="D529" i="1"/>
  <c r="D525" i="1"/>
  <c r="D519" i="1"/>
  <c r="D515" i="1"/>
  <c r="D511" i="1"/>
  <c r="D507" i="1"/>
  <c r="D503" i="1"/>
  <c r="D498" i="1"/>
  <c r="D491" i="1"/>
  <c r="D487" i="1"/>
  <c r="D496" i="1"/>
  <c r="D474" i="1"/>
  <c r="D466" i="1"/>
  <c r="D463" i="1"/>
  <c r="D433" i="1"/>
  <c r="D429" i="1"/>
  <c r="D422" i="1"/>
  <c r="D420" i="1"/>
  <c r="D411" i="1"/>
  <c r="D407" i="1"/>
  <c r="D401" i="1"/>
  <c r="D386" i="1"/>
  <c r="D393" i="1"/>
  <c r="D380" i="1"/>
  <c r="D376" i="1"/>
  <c r="D372" i="1"/>
  <c r="D369" i="1"/>
  <c r="D1017" i="1"/>
  <c r="D1007" i="1"/>
  <c r="D998" i="1"/>
  <c r="D994" i="1"/>
  <c r="D989" i="1"/>
  <c r="D985" i="1"/>
  <c r="D981" i="1"/>
  <c r="D977" i="1"/>
  <c r="D972" i="1"/>
  <c r="D968" i="1"/>
  <c r="D964" i="1"/>
  <c r="D958" i="1"/>
  <c r="D951" i="1"/>
  <c r="D939" i="1"/>
  <c r="D946" i="1"/>
  <c r="D942" i="1"/>
  <c r="D926" i="1"/>
  <c r="D930" i="1"/>
  <c r="D922" i="1"/>
  <c r="D918" i="1"/>
  <c r="D898" i="1"/>
  <c r="D900" i="1"/>
  <c r="D892" i="1"/>
  <c r="D877" i="1"/>
  <c r="D874" i="1"/>
  <c r="D884" i="1"/>
  <c r="D880" i="1"/>
  <c r="D871" i="1"/>
  <c r="D866" i="1"/>
  <c r="D833" i="1"/>
  <c r="D824" i="1"/>
  <c r="D822" i="1"/>
  <c r="D812" i="1"/>
  <c r="D764" i="1"/>
  <c r="D743" i="1"/>
  <c r="D726" i="1"/>
  <c r="D721" i="1"/>
  <c r="D708" i="1"/>
  <c r="D703" i="1"/>
  <c r="D699" i="1"/>
  <c r="D695" i="1"/>
  <c r="D691" i="1"/>
  <c r="D681" i="1"/>
  <c r="D665" i="1"/>
  <c r="D661" i="1"/>
  <c r="D656" i="1"/>
  <c r="D648" i="1"/>
  <c r="D644" i="1"/>
  <c r="D640" i="1"/>
  <c r="D636" i="1"/>
  <c r="D631" i="1"/>
  <c r="D625" i="1"/>
  <c r="D619" i="1"/>
  <c r="D615" i="1"/>
  <c r="D610" i="1"/>
  <c r="D606" i="1"/>
  <c r="D601" i="1"/>
  <c r="D597" i="1"/>
  <c r="D593" i="1"/>
  <c r="D566" i="1"/>
  <c r="D562" i="1"/>
  <c r="D557" i="1"/>
  <c r="D553" i="1"/>
  <c r="D548" i="1"/>
  <c r="D543" i="1"/>
  <c r="D532" i="1"/>
  <c r="D537" i="1"/>
  <c r="D528" i="1"/>
  <c r="D530" i="1"/>
  <c r="D518" i="1"/>
  <c r="D514" i="1"/>
  <c r="D510" i="1"/>
  <c r="D506" i="1"/>
  <c r="D502" i="1"/>
  <c r="D494" i="1"/>
  <c r="D490" i="1"/>
  <c r="D486" i="1"/>
  <c r="D495" i="1"/>
  <c r="D471" i="1"/>
  <c r="D462" i="1"/>
  <c r="D461" i="1"/>
  <c r="D432" i="1"/>
  <c r="D428" i="1"/>
  <c r="D421" i="1"/>
  <c r="D416" i="1"/>
  <c r="D410" i="1"/>
  <c r="D406" i="1"/>
  <c r="D390" i="1"/>
  <c r="D384" i="1"/>
  <c r="D392" i="1"/>
  <c r="D379" i="1"/>
  <c r="D375" i="1"/>
  <c r="D371" i="1"/>
  <c r="D1014" i="1"/>
  <c r="D1016" i="1"/>
  <c r="D999" i="1"/>
  <c r="D997" i="1"/>
  <c r="D992" i="1"/>
  <c r="D988" i="1"/>
  <c r="D984" i="1"/>
  <c r="D980" i="1"/>
  <c r="D976" i="1"/>
  <c r="D971" i="1"/>
  <c r="D967" i="1"/>
  <c r="D963" i="1"/>
  <c r="D957" i="1"/>
  <c r="D950" i="1"/>
  <c r="D948" i="1"/>
  <c r="D945" i="1"/>
  <c r="D937" i="1"/>
  <c r="D933" i="1"/>
  <c r="D929" i="1"/>
  <c r="D921" i="1"/>
  <c r="D917" i="1"/>
  <c r="D897" i="1"/>
  <c r="D899" i="1"/>
  <c r="D890" i="1"/>
  <c r="D876" i="1"/>
  <c r="D887" i="1"/>
  <c r="D883" i="1"/>
  <c r="D879" i="1"/>
  <c r="D870" i="1"/>
  <c r="D864" i="1"/>
  <c r="D832" i="1"/>
  <c r="D828" i="1"/>
  <c r="D821" i="1"/>
  <c r="D774" i="1"/>
  <c r="D761" i="1"/>
  <c r="D742" i="1"/>
  <c r="D724" i="1"/>
  <c r="D720" i="1"/>
  <c r="D707" i="1"/>
  <c r="D702" i="1"/>
  <c r="D698" i="1"/>
  <c r="D694" i="1"/>
  <c r="D690" i="1"/>
  <c r="D680" i="1"/>
  <c r="D664" i="1"/>
  <c r="D660" i="1"/>
  <c r="D655" i="1"/>
  <c r="D647" i="1"/>
  <c r="D643" i="1"/>
  <c r="D639" i="1"/>
  <c r="D634" i="1"/>
  <c r="D629" i="1"/>
  <c r="D624" i="1"/>
  <c r="D618" i="1"/>
  <c r="D614" i="1"/>
  <c r="D609" i="1"/>
  <c r="D605" i="1"/>
  <c r="D600" i="1"/>
  <c r="D596" i="1"/>
  <c r="D583" i="1"/>
  <c r="D565" i="1"/>
  <c r="D561" i="1"/>
  <c r="D556" i="1"/>
  <c r="D550" i="1"/>
  <c r="D547" i="1"/>
  <c r="D542" i="1"/>
  <c r="D541" i="1"/>
  <c r="D536" i="1"/>
  <c r="D527" i="1"/>
  <c r="D521" i="1"/>
  <c r="D517" i="1"/>
  <c r="D513" i="1"/>
  <c r="D509" i="1"/>
  <c r="D505" i="1"/>
  <c r="D501" i="1"/>
  <c r="D493" i="1"/>
  <c r="D489" i="1"/>
  <c r="D485" i="1"/>
  <c r="D484" i="1"/>
  <c r="D468" i="1"/>
  <c r="D465" i="1"/>
  <c r="D460" i="1"/>
  <c r="D431" i="1"/>
  <c r="D427" i="1"/>
  <c r="D419" i="1"/>
  <c r="D413" i="1"/>
  <c r="D409" i="1"/>
  <c r="D405" i="1"/>
  <c r="D389" i="1"/>
  <c r="D382" i="1"/>
  <c r="D391" i="1"/>
  <c r="D378" i="1"/>
  <c r="D374" i="1"/>
  <c r="D370" i="1"/>
  <c r="D975" i="1"/>
  <c r="D970" i="1"/>
  <c r="D966" i="1"/>
  <c r="D954" i="1"/>
  <c r="D956" i="1"/>
  <c r="D941" i="1"/>
  <c r="D947" i="1"/>
  <c r="D944" i="1"/>
  <c r="D935" i="1"/>
  <c r="D932" i="1"/>
  <c r="D924" i="1"/>
  <c r="D920" i="1"/>
  <c r="D910" i="1"/>
  <c r="D896" i="1"/>
  <c r="D894" i="1"/>
  <c r="D889" i="1"/>
  <c r="D873" i="1"/>
  <c r="D886" i="1"/>
  <c r="D882" i="1"/>
  <c r="D878" i="1"/>
  <c r="D869" i="1"/>
  <c r="D835" i="1"/>
  <c r="D826" i="1"/>
  <c r="D827" i="1"/>
  <c r="D820" i="1"/>
  <c r="D773" i="1"/>
  <c r="D763" i="1"/>
  <c r="D737" i="1"/>
  <c r="D723" i="1"/>
  <c r="D719" i="1"/>
  <c r="D705" i="1"/>
  <c r="D701" i="1"/>
  <c r="D697" i="1"/>
  <c r="D693" i="1"/>
  <c r="D689" i="1"/>
  <c r="D667" i="1"/>
  <c r="D663" i="1"/>
  <c r="D659" i="1"/>
  <c r="D651" i="1"/>
  <c r="D646" i="1"/>
  <c r="D642" i="1"/>
  <c r="D638" i="1"/>
  <c r="D633" i="1"/>
  <c r="D627" i="1"/>
  <c r="D623" i="1"/>
  <c r="D617" i="1"/>
  <c r="D612" i="1"/>
  <c r="D608" i="1"/>
  <c r="D604" i="1"/>
  <c r="D599" i="1"/>
  <c r="D595" i="1"/>
  <c r="D582" i="1"/>
  <c r="D564" i="1"/>
  <c r="D559" i="1"/>
  <c r="D555" i="1"/>
  <c r="D551" i="1"/>
  <c r="D546" i="1"/>
  <c r="D534" i="1"/>
  <c r="D540" i="1"/>
  <c r="D535" i="1"/>
  <c r="D526" i="1"/>
  <c r="D520" i="1"/>
  <c r="D516" i="1"/>
  <c r="D512" i="1"/>
  <c r="D508" i="1"/>
  <c r="D504" i="1"/>
  <c r="D499" i="1"/>
  <c r="D492" i="1"/>
  <c r="D488" i="1"/>
  <c r="D497" i="1"/>
  <c r="D478" i="1"/>
  <c r="D467" i="1"/>
  <c r="D464" i="1"/>
  <c r="D434" i="1"/>
  <c r="D430" i="1"/>
  <c r="D426" i="1"/>
  <c r="D418" i="1"/>
  <c r="D412" i="1"/>
  <c r="D408" i="1"/>
  <c r="D404" i="1"/>
  <c r="D387" i="1"/>
  <c r="D394" i="1"/>
  <c r="D381" i="1"/>
  <c r="D377" i="1"/>
  <c r="D373" i="1"/>
  <c r="Q366" i="1"/>
  <c r="S366" i="1"/>
  <c r="E366" i="1"/>
  <c r="D366" i="1" l="1"/>
  <c r="F320" i="1"/>
  <c r="G320" i="1"/>
  <c r="H320" i="1"/>
  <c r="J320" i="1"/>
  <c r="F323" i="1"/>
  <c r="G323" i="1"/>
  <c r="H323" i="1"/>
  <c r="I323" i="1"/>
  <c r="J323" i="1"/>
  <c r="F322" i="1"/>
  <c r="G322" i="1"/>
  <c r="H322" i="1"/>
  <c r="J322" i="1"/>
  <c r="F321" i="1"/>
  <c r="G321" i="1"/>
  <c r="H321" i="1"/>
  <c r="J321" i="1"/>
  <c r="J313" i="1"/>
  <c r="H313" i="1"/>
  <c r="G313" i="1"/>
  <c r="J312" i="1"/>
  <c r="H312" i="1"/>
  <c r="G312" i="1"/>
  <c r="F312" i="1"/>
  <c r="J311" i="1"/>
  <c r="H311" i="1"/>
  <c r="G311" i="1"/>
  <c r="F311" i="1"/>
  <c r="F315" i="1"/>
  <c r="G315" i="1"/>
  <c r="H315" i="1"/>
  <c r="I315" i="1"/>
  <c r="J315" i="1"/>
  <c r="F314" i="1"/>
  <c r="G314" i="1"/>
  <c r="H314" i="1"/>
  <c r="I314" i="1"/>
  <c r="J314" i="1"/>
  <c r="J310" i="1"/>
  <c r="H310" i="1"/>
  <c r="G310" i="1"/>
  <c r="F310" i="1"/>
  <c r="J306" i="1"/>
  <c r="H306" i="1"/>
  <c r="G306" i="1"/>
  <c r="F306" i="1"/>
  <c r="O304" i="1"/>
  <c r="F304" i="1"/>
  <c r="G304" i="1"/>
  <c r="H304" i="1"/>
  <c r="I304" i="1"/>
  <c r="J304" i="1"/>
  <c r="J299" i="1"/>
  <c r="H299" i="1"/>
  <c r="G299" i="1"/>
  <c r="F299" i="1"/>
  <c r="J298" i="1"/>
  <c r="H298" i="1"/>
  <c r="G298" i="1"/>
  <c r="F298" i="1"/>
  <c r="O296" i="1"/>
  <c r="J296" i="1"/>
  <c r="I296" i="1"/>
  <c r="H296" i="1"/>
  <c r="G296" i="1"/>
  <c r="F296" i="1"/>
  <c r="O295" i="1"/>
  <c r="J295" i="1"/>
  <c r="I295" i="1"/>
  <c r="H295" i="1"/>
  <c r="G295" i="1"/>
  <c r="F295" i="1"/>
  <c r="J294" i="1"/>
  <c r="J293" i="1"/>
  <c r="I294" i="1"/>
  <c r="I293" i="1"/>
  <c r="H294" i="1"/>
  <c r="H293" i="1"/>
  <c r="G294" i="1"/>
  <c r="G293" i="1"/>
  <c r="F294" i="1"/>
  <c r="F293" i="1"/>
  <c r="O294" i="1"/>
  <c r="O293" i="1"/>
  <c r="O288" i="1" l="1"/>
  <c r="H288" i="1"/>
  <c r="I288" i="1"/>
  <c r="J288" i="1"/>
  <c r="F288" i="1"/>
  <c r="G288" i="1"/>
  <c r="O287" i="1"/>
  <c r="H280" i="1"/>
  <c r="F280" i="1"/>
  <c r="H279" i="1"/>
  <c r="F279" i="1"/>
  <c r="H283" i="1"/>
  <c r="F283" i="1"/>
  <c r="F282" i="1"/>
  <c r="H282" i="1"/>
  <c r="O282" i="1"/>
  <c r="H281" i="1"/>
  <c r="F281" i="1"/>
  <c r="O281" i="1"/>
  <c r="J276" i="1"/>
  <c r="H276" i="1"/>
  <c r="F276" i="1"/>
  <c r="F275" i="1"/>
  <c r="F274" i="1"/>
  <c r="O274" i="1"/>
  <c r="H273" i="1"/>
  <c r="F273" i="1"/>
  <c r="O272" i="1"/>
  <c r="H272" i="1"/>
  <c r="H271" i="1"/>
  <c r="G272" i="1"/>
  <c r="G271" i="1"/>
  <c r="F272" i="1"/>
  <c r="F271" i="1"/>
  <c r="O271" i="1"/>
  <c r="J270" i="1"/>
  <c r="H270" i="1"/>
  <c r="F270" i="1"/>
  <c r="O270" i="1"/>
  <c r="H269" i="1"/>
  <c r="F269" i="1"/>
  <c r="J268" i="1"/>
  <c r="I268" i="1"/>
  <c r="H268" i="1"/>
  <c r="G268" i="1"/>
  <c r="F268" i="1"/>
  <c r="O268" i="1"/>
  <c r="J267" i="1"/>
  <c r="J265" i="1" s="1"/>
  <c r="I267" i="1"/>
  <c r="H267" i="1"/>
  <c r="G267" i="1"/>
  <c r="F267" i="1"/>
  <c r="S294" i="1"/>
  <c r="S295" i="1"/>
  <c r="S296" i="1"/>
  <c r="S300" i="1"/>
  <c r="S298" i="1"/>
  <c r="S299" i="1"/>
  <c r="S304" i="1"/>
  <c r="S306" i="1"/>
  <c r="S308" i="1"/>
  <c r="S310" i="1"/>
  <c r="S314" i="1"/>
  <c r="S315" i="1"/>
  <c r="S311" i="1"/>
  <c r="S312" i="1"/>
  <c r="S313" i="1"/>
  <c r="S321" i="1"/>
  <c r="S322" i="1"/>
  <c r="S323" i="1"/>
  <c r="S320" i="1"/>
  <c r="S324" i="1"/>
  <c r="S325" i="1"/>
  <c r="S329" i="1"/>
  <c r="S328" i="1"/>
  <c r="S330" i="1"/>
  <c r="S331" i="1"/>
  <c r="S334" i="1"/>
  <c r="S335" i="1"/>
  <c r="S339" i="1"/>
  <c r="S341" i="1"/>
  <c r="S342" i="1"/>
  <c r="S345" i="1"/>
  <c r="S346" i="1"/>
  <c r="S347" i="1"/>
  <c r="S348" i="1"/>
  <c r="S352" i="1"/>
  <c r="S353" i="1"/>
  <c r="S349" i="1"/>
  <c r="S350" i="1"/>
  <c r="S351" i="1"/>
  <c r="S354" i="1"/>
  <c r="S355" i="1"/>
  <c r="S358" i="1"/>
  <c r="S359" i="1"/>
  <c r="S360" i="1"/>
  <c r="S361" i="1"/>
  <c r="S362" i="1"/>
  <c r="S293" i="1"/>
  <c r="Q296" i="1"/>
  <c r="Q300" i="1"/>
  <c r="Q298" i="1"/>
  <c r="Q299" i="1"/>
  <c r="Q304" i="1"/>
  <c r="Q306" i="1"/>
  <c r="Q308" i="1"/>
  <c r="Q310" i="1"/>
  <c r="Q314" i="1"/>
  <c r="Q315" i="1"/>
  <c r="Q311" i="1"/>
  <c r="Q313" i="1"/>
  <c r="Q321" i="1"/>
  <c r="Q322" i="1"/>
  <c r="Q323" i="1"/>
  <c r="Q320" i="1"/>
  <c r="Q324" i="1"/>
  <c r="Q325" i="1"/>
  <c r="Q329" i="1"/>
  <c r="Q328" i="1"/>
  <c r="Q330" i="1"/>
  <c r="Q331" i="1"/>
  <c r="Q334" i="1"/>
  <c r="Q335" i="1"/>
  <c r="Q339" i="1"/>
  <c r="Q341" i="1"/>
  <c r="Q342" i="1"/>
  <c r="Q345" i="1"/>
  <c r="Q346" i="1"/>
  <c r="Q347" i="1"/>
  <c r="Q348" i="1"/>
  <c r="Q352" i="1"/>
  <c r="Q353" i="1"/>
  <c r="Q349" i="1"/>
  <c r="Q350" i="1"/>
  <c r="Q351" i="1"/>
  <c r="Q354" i="1"/>
  <c r="Q355" i="1"/>
  <c r="Q358" i="1"/>
  <c r="Q359" i="1"/>
  <c r="Q360" i="1"/>
  <c r="Q361" i="1"/>
  <c r="Q362" i="1"/>
  <c r="Q294" i="1"/>
  <c r="Q295" i="1"/>
  <c r="Q293" i="1"/>
  <c r="E294" i="1"/>
  <c r="E295" i="1"/>
  <c r="E296" i="1"/>
  <c r="E300" i="1"/>
  <c r="D300" i="1" s="1"/>
  <c r="E298" i="1"/>
  <c r="D298" i="1" s="1"/>
  <c r="E299" i="1"/>
  <c r="D299" i="1" s="1"/>
  <c r="E304" i="1"/>
  <c r="D304" i="1" s="1"/>
  <c r="E306" i="1"/>
  <c r="E308" i="1"/>
  <c r="D308" i="1" s="1"/>
  <c r="E310" i="1"/>
  <c r="D310" i="1" s="1"/>
  <c r="E314" i="1"/>
  <c r="D314" i="1" s="1"/>
  <c r="E315" i="1"/>
  <c r="E311" i="1"/>
  <c r="E312" i="1"/>
  <c r="D312" i="1" s="1"/>
  <c r="E313" i="1"/>
  <c r="D313" i="1" s="1"/>
  <c r="E321" i="1"/>
  <c r="D321" i="1" s="1"/>
  <c r="E322" i="1"/>
  <c r="D322" i="1" s="1"/>
  <c r="E323" i="1"/>
  <c r="D323" i="1" s="1"/>
  <c r="E320" i="1"/>
  <c r="D320" i="1" s="1"/>
  <c r="E324" i="1"/>
  <c r="E325" i="1"/>
  <c r="D325" i="1" s="1"/>
  <c r="E329" i="1"/>
  <c r="D329" i="1" s="1"/>
  <c r="E328" i="1"/>
  <c r="D328" i="1" s="1"/>
  <c r="E330" i="1"/>
  <c r="E331" i="1"/>
  <c r="E334" i="1"/>
  <c r="D334" i="1" s="1"/>
  <c r="E335" i="1"/>
  <c r="D335" i="1" s="1"/>
  <c r="E339" i="1"/>
  <c r="D339" i="1" s="1"/>
  <c r="E341" i="1"/>
  <c r="D341" i="1" s="1"/>
  <c r="E342" i="1"/>
  <c r="D342" i="1" s="1"/>
  <c r="E345" i="1"/>
  <c r="D345" i="1" s="1"/>
  <c r="E346" i="1"/>
  <c r="E347" i="1"/>
  <c r="D347" i="1" s="1"/>
  <c r="E348" i="1"/>
  <c r="D348" i="1" s="1"/>
  <c r="E352" i="1"/>
  <c r="D352" i="1" s="1"/>
  <c r="E353" i="1"/>
  <c r="E349" i="1"/>
  <c r="E350" i="1"/>
  <c r="D350" i="1" s="1"/>
  <c r="E351" i="1"/>
  <c r="D351" i="1" s="1"/>
  <c r="E354" i="1"/>
  <c r="D354" i="1" s="1"/>
  <c r="E355" i="1"/>
  <c r="D355" i="1" s="1"/>
  <c r="E358" i="1"/>
  <c r="D358" i="1" s="1"/>
  <c r="E359" i="1"/>
  <c r="D359" i="1" s="1"/>
  <c r="E360" i="1"/>
  <c r="E361" i="1"/>
  <c r="D361" i="1" s="1"/>
  <c r="E362" i="1"/>
  <c r="D362" i="1" s="1"/>
  <c r="E293" i="1"/>
  <c r="D293" i="1" s="1"/>
  <c r="S267" i="1"/>
  <c r="S268" i="1"/>
  <c r="S269" i="1"/>
  <c r="S270" i="1"/>
  <c r="S271" i="1"/>
  <c r="S272" i="1"/>
  <c r="S273" i="1"/>
  <c r="S274" i="1"/>
  <c r="S275" i="1"/>
  <c r="S276" i="1"/>
  <c r="S281" i="1"/>
  <c r="S282" i="1"/>
  <c r="S283" i="1"/>
  <c r="S279" i="1"/>
  <c r="S280" i="1"/>
  <c r="S287" i="1"/>
  <c r="S266" i="1"/>
  <c r="O266" i="1"/>
  <c r="Q268" i="1"/>
  <c r="Q269" i="1"/>
  <c r="Q270" i="1"/>
  <c r="Q271" i="1"/>
  <c r="Q272" i="1"/>
  <c r="Q273" i="1"/>
  <c r="Q274" i="1"/>
  <c r="Q275" i="1"/>
  <c r="Q276" i="1"/>
  <c r="Q281" i="1"/>
  <c r="Q282" i="1"/>
  <c r="Q283" i="1"/>
  <c r="Q279" i="1"/>
  <c r="Q280" i="1"/>
  <c r="Q287" i="1"/>
  <c r="Q267" i="1"/>
  <c r="Q266" i="1"/>
  <c r="E266" i="1"/>
  <c r="E174" i="1"/>
  <c r="D346" i="1" l="1"/>
  <c r="D324" i="1"/>
  <c r="D306" i="1"/>
  <c r="D360" i="1"/>
  <c r="D296" i="1"/>
  <c r="D295" i="1"/>
  <c r="D349" i="1"/>
  <c r="D331" i="1"/>
  <c r="D311" i="1"/>
  <c r="D294" i="1"/>
  <c r="D353" i="1"/>
  <c r="D330" i="1"/>
  <c r="D315" i="1"/>
  <c r="I265" i="1"/>
  <c r="D266" i="1"/>
  <c r="D287" i="1"/>
  <c r="O265" i="1"/>
  <c r="F265" i="1"/>
  <c r="G265" i="1"/>
  <c r="H265" i="1"/>
  <c r="S288" i="1"/>
  <c r="S265" i="1"/>
  <c r="Q265" i="1"/>
  <c r="Q288" i="1"/>
  <c r="E288" i="1"/>
  <c r="E275" i="1"/>
  <c r="D275" i="1" s="1"/>
  <c r="E282" i="1"/>
  <c r="D282" i="1" s="1"/>
  <c r="E272" i="1"/>
  <c r="D272" i="1" s="1"/>
  <c r="E274" i="1"/>
  <c r="D274" i="1" s="1"/>
  <c r="E271" i="1"/>
  <c r="D271" i="1" s="1"/>
  <c r="E281" i="1"/>
  <c r="D281" i="1" s="1"/>
  <c r="E280" i="1"/>
  <c r="D280" i="1" s="1"/>
  <c r="E268" i="1"/>
  <c r="D268" i="1" s="1"/>
  <c r="E273" i="1"/>
  <c r="D273" i="1" s="1"/>
  <c r="E279" i="1"/>
  <c r="D279" i="1" s="1"/>
  <c r="E267" i="1"/>
  <c r="D267" i="1" s="1"/>
  <c r="E276" i="1"/>
  <c r="D276" i="1" s="1"/>
  <c r="E283" i="1"/>
  <c r="D283" i="1" s="1"/>
  <c r="E270" i="1"/>
  <c r="D270" i="1" s="1"/>
  <c r="E269" i="1"/>
  <c r="D269" i="1" s="1"/>
  <c r="E265" i="1" l="1"/>
  <c r="D288" i="1"/>
  <c r="D265" i="1"/>
  <c r="O264" i="1"/>
  <c r="J264" i="1"/>
  <c r="H264" i="1"/>
  <c r="G264" i="1"/>
  <c r="F264" i="1"/>
  <c r="O263" i="1"/>
  <c r="J263" i="1"/>
  <c r="H263" i="1"/>
  <c r="G263" i="1"/>
  <c r="F263" i="1"/>
  <c r="O262" i="1"/>
  <c r="O260" i="1"/>
  <c r="O259" i="1"/>
  <c r="J259" i="1"/>
  <c r="H259" i="1"/>
  <c r="G259" i="1"/>
  <c r="F259" i="1"/>
  <c r="J257" i="1"/>
  <c r="H257" i="1"/>
  <c r="G257" i="1"/>
  <c r="F257" i="1"/>
  <c r="F256" i="1"/>
  <c r="J254" i="1" l="1"/>
  <c r="H254" i="1"/>
  <c r="G254" i="1"/>
  <c r="F254" i="1"/>
  <c r="O254" i="1"/>
  <c r="F247" i="1" l="1"/>
  <c r="G247" i="1"/>
  <c r="H247" i="1"/>
  <c r="J247" i="1"/>
  <c r="J246" i="1"/>
  <c r="H246" i="1"/>
  <c r="G246" i="1"/>
  <c r="F246" i="1"/>
  <c r="J243" i="1"/>
  <c r="H243" i="1"/>
  <c r="G243" i="1"/>
  <c r="F243" i="1"/>
  <c r="O241" i="1"/>
  <c r="O222" i="1" s="1"/>
  <c r="G241" i="1"/>
  <c r="J241" i="1"/>
  <c r="J240" i="1"/>
  <c r="I240" i="1"/>
  <c r="I222" i="1" s="1"/>
  <c r="H240" i="1"/>
  <c r="G240" i="1"/>
  <c r="F240" i="1"/>
  <c r="G222" i="1" l="1"/>
  <c r="H222" i="1"/>
  <c r="J222" i="1"/>
  <c r="F222" i="1"/>
  <c r="S216" i="1"/>
  <c r="O213" i="1"/>
  <c r="O211" i="1"/>
  <c r="F213" i="1"/>
  <c r="F217" i="1"/>
  <c r="F216" i="1"/>
  <c r="O203" i="1"/>
  <c r="O202" i="1"/>
  <c r="E211" i="1" l="1"/>
  <c r="D211" i="1" s="1"/>
  <c r="E213" i="1"/>
  <c r="D213" i="1" s="1"/>
  <c r="E216" i="1"/>
  <c r="D216" i="1" s="1"/>
  <c r="E217" i="1"/>
  <c r="D217" i="1" s="1"/>
  <c r="F204" i="1" l="1"/>
  <c r="E204" i="1" s="1"/>
  <c r="D204" i="1" s="1"/>
  <c r="F203" i="1"/>
  <c r="E203" i="1" s="1"/>
  <c r="D203" i="1" s="1"/>
  <c r="F202" i="1"/>
  <c r="E202" i="1" s="1"/>
  <c r="D202" i="1" s="1"/>
  <c r="S62" i="1" l="1"/>
  <c r="S58" i="1" s="1"/>
  <c r="F57" i="1" l="1"/>
  <c r="H57" i="1"/>
  <c r="J57" i="1"/>
  <c r="O54" i="1"/>
  <c r="S51" i="1"/>
  <c r="O51" i="1"/>
  <c r="O11" i="1" s="1"/>
  <c r="J51" i="1"/>
  <c r="H51" i="1"/>
  <c r="F51" i="1"/>
  <c r="J50" i="1"/>
  <c r="H50" i="1"/>
  <c r="G50" i="1"/>
  <c r="F50" i="1"/>
  <c r="J49" i="1"/>
  <c r="H49" i="1"/>
  <c r="G49" i="1"/>
  <c r="F49" i="1"/>
  <c r="J40" i="1"/>
  <c r="H40" i="1"/>
  <c r="G40" i="1"/>
  <c r="F40" i="1"/>
  <c r="J38" i="1"/>
  <c r="J36" i="1"/>
  <c r="I36" i="1"/>
  <c r="H36" i="1"/>
  <c r="G36" i="1"/>
  <c r="F36" i="1"/>
  <c r="J35" i="1"/>
  <c r="H35" i="1"/>
  <c r="G35" i="1"/>
  <c r="F35" i="1"/>
  <c r="J34" i="1"/>
  <c r="H34" i="1"/>
  <c r="G34" i="1"/>
  <c r="F34" i="1"/>
  <c r="J37" i="1" l="1"/>
  <c r="H37" i="1"/>
  <c r="F37" i="1"/>
  <c r="J31" i="1"/>
  <c r="H31" i="1"/>
  <c r="G31" i="1"/>
  <c r="F31" i="1"/>
  <c r="J30" i="1"/>
  <c r="H30" i="1"/>
  <c r="G30" i="1"/>
  <c r="F30" i="1"/>
  <c r="I29" i="1"/>
  <c r="H26" i="1"/>
  <c r="J26" i="1"/>
  <c r="F26" i="1"/>
  <c r="F17" i="1"/>
  <c r="J16" i="1"/>
  <c r="I16" i="1"/>
  <c r="H16" i="1"/>
  <c r="G16" i="1"/>
  <c r="F16" i="1"/>
  <c r="J23" i="1" l="1"/>
  <c r="I23" i="1"/>
  <c r="H23" i="1"/>
  <c r="G23" i="1"/>
  <c r="F23" i="1"/>
  <c r="J21" i="1"/>
  <c r="I21" i="1"/>
  <c r="I11" i="1" s="1"/>
  <c r="H21" i="1"/>
  <c r="G21" i="1"/>
  <c r="F21" i="1"/>
  <c r="J20" i="1"/>
  <c r="H20" i="1"/>
  <c r="G20" i="1"/>
  <c r="F20" i="1"/>
  <c r="J19" i="1"/>
  <c r="H19" i="1"/>
  <c r="G19" i="1"/>
  <c r="F19" i="1"/>
  <c r="J18" i="1"/>
  <c r="H18" i="1"/>
  <c r="G18" i="1"/>
  <c r="G15" i="1"/>
  <c r="F18" i="1"/>
  <c r="J15" i="1"/>
  <c r="H15" i="1"/>
  <c r="F15" i="1"/>
  <c r="Q14" i="1"/>
  <c r="J14" i="1"/>
  <c r="H14" i="1"/>
  <c r="G14" i="1"/>
  <c r="F14" i="1"/>
  <c r="J11" i="1" l="1"/>
  <c r="G11" i="1"/>
  <c r="H11" i="1"/>
  <c r="F11" i="1"/>
  <c r="E14" i="1"/>
  <c r="B428" i="1"/>
  <c r="B1007" i="1" l="1"/>
  <c r="B966" i="1"/>
  <c r="B979" i="1"/>
  <c r="B2258" i="1" l="1"/>
  <c r="B2218" i="1"/>
  <c r="B2215" i="1"/>
  <c r="B1287" i="1"/>
  <c r="B1822" i="1"/>
  <c r="B1823" i="1"/>
  <c r="J1341" i="1" l="1"/>
  <c r="I1341" i="1"/>
  <c r="F1341" i="1"/>
  <c r="B1341" i="1"/>
  <c r="Q1334" i="1"/>
  <c r="J1334" i="1"/>
  <c r="I1334" i="1"/>
  <c r="H1334" i="1"/>
  <c r="G1334" i="1"/>
  <c r="F1334" i="1"/>
  <c r="B1334" i="1"/>
  <c r="Q1333" i="1"/>
  <c r="J1333" i="1"/>
  <c r="I1333" i="1"/>
  <c r="H1333" i="1"/>
  <c r="G1333" i="1"/>
  <c r="F1333" i="1"/>
  <c r="B1333" i="1"/>
  <c r="Q1332" i="1"/>
  <c r="J1332" i="1"/>
  <c r="J1323" i="1" s="1"/>
  <c r="I1332" i="1"/>
  <c r="H1332" i="1"/>
  <c r="G1332" i="1"/>
  <c r="F1332" i="1"/>
  <c r="F1323" i="1" s="1"/>
  <c r="B1332" i="1"/>
  <c r="Q1331" i="1"/>
  <c r="I1331" i="1"/>
  <c r="H1331" i="1"/>
  <c r="B1331" i="1"/>
  <c r="B1337" i="1"/>
  <c r="B1338" i="1"/>
  <c r="G1323" i="1" l="1"/>
  <c r="G1186" i="1" s="1"/>
  <c r="H1323" i="1"/>
  <c r="I1323" i="1"/>
  <c r="I1186" i="1" s="1"/>
  <c r="Q1323" i="1"/>
  <c r="E1341" i="1"/>
  <c r="D1341" i="1" s="1"/>
  <c r="H1186" i="1"/>
  <c r="E1333" i="1"/>
  <c r="D1333" i="1" s="1"/>
  <c r="E1332" i="1"/>
  <c r="D1332" i="1" s="1"/>
  <c r="E1331" i="1"/>
  <c r="D1331" i="1" s="1"/>
  <c r="E1334" i="1"/>
  <c r="D1334" i="1" s="1"/>
  <c r="B1518" i="1"/>
  <c r="B1516" i="1"/>
  <c r="B1434" i="1"/>
  <c r="B1365" i="1"/>
  <c r="B1364" i="1"/>
  <c r="B1454" i="1"/>
  <c r="B1810" i="1"/>
  <c r="S257" i="1"/>
  <c r="Q257" i="1"/>
  <c r="E257" i="1"/>
  <c r="D257" i="1" s="1"/>
  <c r="B257" i="1"/>
  <c r="B1433" i="1"/>
  <c r="B1513" i="1"/>
  <c r="B1512" i="1"/>
  <c r="B2275" i="1"/>
  <c r="S256" i="1"/>
  <c r="Q256" i="1"/>
  <c r="E256" i="1"/>
  <c r="D256" i="1" s="1"/>
  <c r="B256" i="1"/>
  <c r="B1511" i="1"/>
  <c r="B1510" i="1"/>
  <c r="B1509" i="1"/>
  <c r="E1323" i="1" l="1"/>
  <c r="D1323" i="1"/>
  <c r="B1804" i="1"/>
  <c r="B1803" i="1"/>
  <c r="B1802" i="1"/>
  <c r="B1801" i="1"/>
  <c r="B1800" i="1"/>
  <c r="B1799" i="1"/>
  <c r="B1798" i="1"/>
  <c r="B1508" i="1"/>
  <c r="B1345" i="1"/>
  <c r="B1344" i="1"/>
  <c r="B1346" i="1"/>
  <c r="S1346" i="1"/>
  <c r="S1342" i="1" s="1"/>
  <c r="J1346" i="1"/>
  <c r="F1346" i="1"/>
  <c r="B1451" i="1"/>
  <c r="B1453" i="1"/>
  <c r="B1452" i="1"/>
  <c r="B1450" i="1"/>
  <c r="B1506" i="1"/>
  <c r="B1505" i="1"/>
  <c r="B1884" i="1"/>
  <c r="B1850" i="1"/>
  <c r="B1841" i="1"/>
  <c r="B1839" i="1"/>
  <c r="B1530" i="1"/>
  <c r="B1772" i="1"/>
  <c r="B1762" i="1"/>
  <c r="B1745" i="1"/>
  <c r="B1689" i="1"/>
  <c r="B1671" i="1"/>
  <c r="B1650" i="1"/>
  <c r="B1645" i="1"/>
  <c r="B1641" i="1"/>
  <c r="B1611" i="1"/>
  <c r="B1608" i="1"/>
  <c r="B1594" i="1"/>
  <c r="F1342" i="1" l="1"/>
  <c r="F1186" i="1" s="1"/>
  <c r="J1342" i="1"/>
  <c r="J1186" i="1" s="1"/>
  <c r="E1346" i="1"/>
  <c r="D1346" i="1" s="1"/>
  <c r="B1570" i="1"/>
  <c r="B1532" i="1"/>
  <c r="E1342" i="1" l="1"/>
  <c r="E1186" i="1" s="1"/>
  <c r="D1342" i="1"/>
  <c r="B1498" i="1"/>
  <c r="B1497" i="1"/>
  <c r="B1493" i="1"/>
  <c r="B1492" i="1"/>
  <c r="B1490" i="1"/>
  <c r="B1491" i="1"/>
  <c r="B1488" i="1"/>
  <c r="B1487" i="1"/>
  <c r="B1486" i="1"/>
  <c r="B1482" i="1"/>
  <c r="B1481" i="1"/>
  <c r="B1477" i="1"/>
  <c r="B1449" i="1"/>
  <c r="B1447" i="1"/>
  <c r="B1446" i="1"/>
  <c r="B1442" i="1" l="1"/>
  <c r="B1443" i="1"/>
  <c r="S1430" i="1"/>
  <c r="D1430" i="1" s="1"/>
  <c r="B1430" i="1"/>
  <c r="B1428" i="1"/>
  <c r="S1427" i="1"/>
  <c r="D1427" i="1" s="1"/>
  <c r="B1427" i="1"/>
  <c r="S1426" i="1"/>
  <c r="D1426" i="1" s="1"/>
  <c r="B1426" i="1"/>
  <c r="B1424" i="1"/>
  <c r="B1425" i="1"/>
  <c r="B1392" i="1"/>
  <c r="B1388" i="1"/>
  <c r="B1389" i="1"/>
  <c r="B217" i="1"/>
  <c r="B216" i="1"/>
  <c r="B213" i="1"/>
  <c r="B211" i="1"/>
  <c r="B1024" i="1"/>
  <c r="B204" i="1"/>
  <c r="B203" i="1"/>
  <c r="B202" i="1"/>
  <c r="B887" i="1"/>
  <c r="B881" i="1"/>
  <c r="B761" i="1"/>
  <c r="B708" i="1"/>
  <c r="B680" i="1" l="1"/>
  <c r="B656" i="1"/>
  <c r="B649" i="1"/>
  <c r="B651" i="1"/>
  <c r="B461" i="1"/>
  <c r="B460" i="1"/>
  <c r="S246" i="1"/>
  <c r="Q246" i="1"/>
  <c r="E246" i="1"/>
  <c r="B246" i="1"/>
  <c r="O188" i="1"/>
  <c r="B2142" i="1"/>
  <c r="Q1356" i="1"/>
  <c r="D1356" i="1" s="1"/>
  <c r="B1356" i="1"/>
  <c r="O132" i="1"/>
  <c r="B1343" i="1"/>
  <c r="B1289" i="1"/>
  <c r="B1275" i="1"/>
  <c r="B1421" i="1"/>
  <c r="B1420" i="1"/>
  <c r="S1413" i="1"/>
  <c r="D1413" i="1" s="1"/>
  <c r="B1413" i="1"/>
  <c r="D246" i="1" l="1"/>
  <c r="S1415" i="1"/>
  <c r="D1415" i="1" s="1"/>
  <c r="B1415" i="1"/>
  <c r="S1414" i="1"/>
  <c r="Q1414" i="1"/>
  <c r="B1414" i="1"/>
  <c r="S188" i="1"/>
  <c r="Q188" i="1"/>
  <c r="E188" i="1"/>
  <c r="D188" i="1" s="1"/>
  <c r="B188" i="1"/>
  <c r="S240" i="1"/>
  <c r="S241" i="1"/>
  <c r="S243" i="1"/>
  <c r="S247" i="1"/>
  <c r="S254" i="1"/>
  <c r="S259" i="1"/>
  <c r="S260" i="1"/>
  <c r="S262" i="1"/>
  <c r="S263" i="1"/>
  <c r="S264" i="1"/>
  <c r="S261" i="1"/>
  <c r="Q240" i="1"/>
  <c r="Q241" i="1"/>
  <c r="Q243" i="1"/>
  <c r="Q247" i="1"/>
  <c r="Q254" i="1"/>
  <c r="Q259" i="1"/>
  <c r="Q260" i="1"/>
  <c r="Q262" i="1"/>
  <c r="Q263" i="1"/>
  <c r="Q264" i="1"/>
  <c r="Q261" i="1"/>
  <c r="E238" i="1"/>
  <c r="D238" i="1" s="1"/>
  <c r="E240" i="1"/>
  <c r="E241" i="1"/>
  <c r="E243" i="1"/>
  <c r="D243" i="1" s="1"/>
  <c r="E247" i="1"/>
  <c r="E254" i="1"/>
  <c r="E259" i="1"/>
  <c r="E260" i="1"/>
  <c r="E262" i="1"/>
  <c r="E263" i="1"/>
  <c r="E264" i="1"/>
  <c r="E261" i="1"/>
  <c r="J221" i="1"/>
  <c r="J220" i="1"/>
  <c r="H221" i="1"/>
  <c r="H220" i="1"/>
  <c r="G221" i="1"/>
  <c r="G220" i="1"/>
  <c r="F221" i="1"/>
  <c r="F220" i="1"/>
  <c r="O221" i="1"/>
  <c r="O220" i="1"/>
  <c r="O183" i="1" s="1"/>
  <c r="J194" i="1"/>
  <c r="H194" i="1"/>
  <c r="G194" i="1"/>
  <c r="J192" i="1"/>
  <c r="H192" i="1"/>
  <c r="G192" i="1"/>
  <c r="D264" i="1" l="1"/>
  <c r="D241" i="1"/>
  <c r="D254" i="1"/>
  <c r="D259" i="1"/>
  <c r="D262" i="1"/>
  <c r="D240" i="1"/>
  <c r="D261" i="1"/>
  <c r="D263" i="1"/>
  <c r="D260" i="1"/>
  <c r="D247" i="1"/>
  <c r="Q1404" i="1"/>
  <c r="D1414" i="1"/>
  <c r="D1404" i="1" s="1"/>
  <c r="S222" i="1"/>
  <c r="S1404" i="1"/>
  <c r="E222" i="1"/>
  <c r="Q222" i="1"/>
  <c r="D222" i="1" l="1"/>
  <c r="J190" i="1"/>
  <c r="H190" i="1"/>
  <c r="G190" i="1"/>
  <c r="F190" i="1"/>
  <c r="J187" i="1"/>
  <c r="I187" i="1"/>
  <c r="H187" i="1"/>
  <c r="G187" i="1"/>
  <c r="F187" i="1"/>
  <c r="J186" i="1"/>
  <c r="J183" i="1" s="1"/>
  <c r="I186" i="1"/>
  <c r="I183" i="1" s="1"/>
  <c r="H186" i="1"/>
  <c r="G186" i="1"/>
  <c r="F199" i="1"/>
  <c r="F194" i="1"/>
  <c r="F192" i="1"/>
  <c r="F189" i="1"/>
  <c r="F186" i="1"/>
  <c r="F183" i="1" l="1"/>
  <c r="G183" i="1"/>
  <c r="H183" i="1"/>
  <c r="S187" i="1"/>
  <c r="S189" i="1"/>
  <c r="S190" i="1"/>
  <c r="S192" i="1"/>
  <c r="S194" i="1"/>
  <c r="S198" i="1"/>
  <c r="S199" i="1"/>
  <c r="S220" i="1"/>
  <c r="S221" i="1"/>
  <c r="S186" i="1"/>
  <c r="Q187" i="1"/>
  <c r="Q189" i="1"/>
  <c r="Q190" i="1"/>
  <c r="Q192" i="1"/>
  <c r="Q194" i="1"/>
  <c r="Q198" i="1"/>
  <c r="Q199" i="1"/>
  <c r="Q220" i="1"/>
  <c r="Q221" i="1"/>
  <c r="Q186" i="1"/>
  <c r="E187" i="1"/>
  <c r="D187" i="1" s="1"/>
  <c r="E189" i="1"/>
  <c r="E190" i="1"/>
  <c r="E192" i="1"/>
  <c r="E194" i="1"/>
  <c r="E198" i="1"/>
  <c r="E199" i="1"/>
  <c r="E220" i="1"/>
  <c r="E221" i="1"/>
  <c r="E186" i="1"/>
  <c r="O182" i="1"/>
  <c r="O180" i="1" s="1"/>
  <c r="J182" i="1"/>
  <c r="J181" i="1"/>
  <c r="J180" i="1" s="1"/>
  <c r="H182" i="1"/>
  <c r="H181" i="1"/>
  <c r="F182" i="1"/>
  <c r="F181" i="1"/>
  <c r="F180" i="1" s="1"/>
  <c r="S182" i="1"/>
  <c r="S181" i="1"/>
  <c r="Q182" i="1"/>
  <c r="Q181" i="1"/>
  <c r="S179" i="1"/>
  <c r="G179" i="1"/>
  <c r="G166" i="1" s="1"/>
  <c r="F179" i="1"/>
  <c r="O179" i="1"/>
  <c r="O177" i="1"/>
  <c r="D221" i="1" l="1"/>
  <c r="D186" i="1"/>
  <c r="D199" i="1"/>
  <c r="D198" i="1"/>
  <c r="D192" i="1"/>
  <c r="D220" i="1"/>
  <c r="D194" i="1"/>
  <c r="D190" i="1"/>
  <c r="D189" i="1"/>
  <c r="H180" i="1"/>
  <c r="S183" i="1"/>
  <c r="S180" i="1"/>
  <c r="Q180" i="1"/>
  <c r="Q183" i="1"/>
  <c r="E183" i="1"/>
  <c r="E182" i="1"/>
  <c r="D182" i="1" s="1"/>
  <c r="E181" i="1"/>
  <c r="D181" i="1" s="1"/>
  <c r="D183" i="1" l="1"/>
  <c r="D180" i="1"/>
  <c r="E180" i="1"/>
  <c r="S176" i="1"/>
  <c r="O176" i="1"/>
  <c r="O175" i="1"/>
  <c r="O173" i="1"/>
  <c r="O172" i="1"/>
  <c r="J176" i="1"/>
  <c r="J175" i="1"/>
  <c r="J172" i="1"/>
  <c r="J166" i="1" s="1"/>
  <c r="H176" i="1"/>
  <c r="H175" i="1"/>
  <c r="H173" i="1"/>
  <c r="H172" i="1"/>
  <c r="F176" i="1"/>
  <c r="F175" i="1"/>
  <c r="F173" i="1"/>
  <c r="F172" i="1"/>
  <c r="F166" i="1" l="1"/>
  <c r="H166" i="1"/>
  <c r="O167" i="1"/>
  <c r="O166" i="1" s="1"/>
  <c r="S168" i="1"/>
  <c r="S169" i="1"/>
  <c r="S172" i="1"/>
  <c r="S173" i="1"/>
  <c r="S174" i="1"/>
  <c r="S175" i="1"/>
  <c r="S177" i="1"/>
  <c r="S167" i="1"/>
  <c r="Q168" i="1"/>
  <c r="Q169" i="1"/>
  <c r="Q172" i="1"/>
  <c r="Q173" i="1"/>
  <c r="Q174" i="1"/>
  <c r="Q175" i="1"/>
  <c r="Q176" i="1"/>
  <c r="Q177" i="1"/>
  <c r="Q179" i="1"/>
  <c r="Q167" i="1"/>
  <c r="D174" i="1" l="1"/>
  <c r="S166" i="1"/>
  <c r="Q166" i="1"/>
  <c r="E168" i="1"/>
  <c r="D168" i="1" s="1"/>
  <c r="E169" i="1"/>
  <c r="D169" i="1" s="1"/>
  <c r="E172" i="1"/>
  <c r="D172" i="1" s="1"/>
  <c r="E173" i="1"/>
  <c r="D173" i="1" s="1"/>
  <c r="E175" i="1"/>
  <c r="D175" i="1" s="1"/>
  <c r="E176" i="1"/>
  <c r="D176" i="1" s="1"/>
  <c r="E177" i="1"/>
  <c r="D177" i="1" s="1"/>
  <c r="E179" i="1"/>
  <c r="D179" i="1" s="1"/>
  <c r="E167" i="1"/>
  <c r="O165" i="1"/>
  <c r="O164" i="1"/>
  <c r="H165" i="1"/>
  <c r="H164" i="1"/>
  <c r="H163" i="1"/>
  <c r="O161" i="1"/>
  <c r="J161" i="1"/>
  <c r="H161" i="1"/>
  <c r="H160" i="1"/>
  <c r="O159" i="1"/>
  <c r="J159" i="1"/>
  <c r="J156" i="1" s="1"/>
  <c r="H159" i="1"/>
  <c r="H156" i="1" s="1"/>
  <c r="G159" i="1"/>
  <c r="G156" i="1" s="1"/>
  <c r="F165" i="1"/>
  <c r="F164" i="1"/>
  <c r="F163" i="1"/>
  <c r="F161" i="1"/>
  <c r="F160" i="1"/>
  <c r="F159" i="1"/>
  <c r="S160" i="1"/>
  <c r="S161" i="1"/>
  <c r="S163" i="1"/>
  <c r="S164" i="1"/>
  <c r="S165" i="1"/>
  <c r="S159" i="1"/>
  <c r="Q160" i="1"/>
  <c r="Q161" i="1"/>
  <c r="Q163" i="1"/>
  <c r="Q164" i="1"/>
  <c r="Q165" i="1"/>
  <c r="Q159" i="1"/>
  <c r="O150" i="1"/>
  <c r="O149" i="1"/>
  <c r="J151" i="1"/>
  <c r="H151" i="1"/>
  <c r="J152" i="1"/>
  <c r="J150" i="1"/>
  <c r="J149" i="1"/>
  <c r="H152" i="1"/>
  <c r="H150" i="1"/>
  <c r="H149" i="1"/>
  <c r="F152" i="1"/>
  <c r="F151" i="1"/>
  <c r="F150" i="1"/>
  <c r="F149" i="1"/>
  <c r="Q149" i="1"/>
  <c r="Q150" i="1"/>
  <c r="Q151" i="1"/>
  <c r="Q152" i="1"/>
  <c r="S149" i="1"/>
  <c r="S150" i="1"/>
  <c r="S151" i="1"/>
  <c r="S152" i="1"/>
  <c r="O147" i="1"/>
  <c r="O146" i="1"/>
  <c r="O145" i="1"/>
  <c r="G147" i="1"/>
  <c r="G146" i="1"/>
  <c r="G145" i="1"/>
  <c r="F147" i="1"/>
  <c r="F146" i="1"/>
  <c r="F145" i="1"/>
  <c r="G143" i="1"/>
  <c r="O143" i="1"/>
  <c r="F143" i="1"/>
  <c r="O141" i="1"/>
  <c r="B1359" i="1"/>
  <c r="S1359" i="1"/>
  <c r="Q1359" i="1"/>
  <c r="D1359" i="1" s="1"/>
  <c r="O140" i="1"/>
  <c r="O139" i="1"/>
  <c r="O138" i="1"/>
  <c r="O135" i="1"/>
  <c r="S133" i="1"/>
  <c r="F141" i="1"/>
  <c r="F140" i="1"/>
  <c r="F139" i="1"/>
  <c r="F138" i="1"/>
  <c r="F136" i="1"/>
  <c r="F135" i="1"/>
  <c r="F133" i="1"/>
  <c r="Q135" i="1"/>
  <c r="Q136" i="1"/>
  <c r="Q137" i="1"/>
  <c r="Q138" i="1"/>
  <c r="Q139" i="1"/>
  <c r="Q140" i="1"/>
  <c r="Q141" i="1"/>
  <c r="Q143" i="1"/>
  <c r="Q145" i="1"/>
  <c r="Q146" i="1"/>
  <c r="Q147" i="1"/>
  <c r="Q133" i="1"/>
  <c r="Q132" i="1"/>
  <c r="F132" i="1"/>
  <c r="S132" i="1"/>
  <c r="S135" i="1"/>
  <c r="S136" i="1"/>
  <c r="S137" i="1"/>
  <c r="S138" i="1"/>
  <c r="S139" i="1"/>
  <c r="S140" i="1"/>
  <c r="S141" i="1"/>
  <c r="S143" i="1"/>
  <c r="S145" i="1"/>
  <c r="S146" i="1"/>
  <c r="S147" i="1"/>
  <c r="S131" i="1"/>
  <c r="Q131" i="1"/>
  <c r="O131" i="1"/>
  <c r="F131" i="1"/>
  <c r="Q129" i="1"/>
  <c r="J129" i="1"/>
  <c r="H129" i="1"/>
  <c r="F129" i="1"/>
  <c r="O129" i="1"/>
  <c r="O126" i="1" s="1"/>
  <c r="J128" i="1"/>
  <c r="J126" i="1" s="1"/>
  <c r="H128" i="1"/>
  <c r="H126" i="1" s="1"/>
  <c r="F128" i="1"/>
  <c r="F126" i="1" s="1"/>
  <c r="Q128" i="1"/>
  <c r="Q126" i="1" s="1"/>
  <c r="S128" i="1"/>
  <c r="S129" i="1"/>
  <c r="E166" i="1" l="1"/>
  <c r="D167" i="1"/>
  <c r="S126" i="1"/>
  <c r="Q130" i="1"/>
  <c r="F148" i="1"/>
  <c r="O148" i="1"/>
  <c r="S156" i="1"/>
  <c r="F156" i="1"/>
  <c r="H148" i="1"/>
  <c r="F130" i="1"/>
  <c r="G130" i="1"/>
  <c r="J148" i="1"/>
  <c r="O130" i="1"/>
  <c r="S148" i="1"/>
  <c r="S130" i="1"/>
  <c r="Q148" i="1"/>
  <c r="O156" i="1"/>
  <c r="Q1347" i="1"/>
  <c r="Q1186" i="1" s="1"/>
  <c r="S1347" i="1"/>
  <c r="S1186" i="1" s="1"/>
  <c r="Q156" i="1"/>
  <c r="D166" i="1"/>
  <c r="E128" i="1"/>
  <c r="D128" i="1" s="1"/>
  <c r="E129" i="1"/>
  <c r="D129" i="1" s="1"/>
  <c r="D1347" i="1"/>
  <c r="E160" i="1"/>
  <c r="D160" i="1" s="1"/>
  <c r="E164" i="1"/>
  <c r="D164" i="1" s="1"/>
  <c r="E165" i="1"/>
  <c r="D165" i="1" s="1"/>
  <c r="E161" i="1"/>
  <c r="D161" i="1" s="1"/>
  <c r="E163" i="1"/>
  <c r="D163" i="1" s="1"/>
  <c r="E159" i="1"/>
  <c r="D159" i="1" s="1"/>
  <c r="O125" i="1"/>
  <c r="O110" i="1"/>
  <c r="E156" i="1" l="1"/>
  <c r="E126" i="1"/>
  <c r="D126" i="1"/>
  <c r="D156" i="1"/>
  <c r="O111" i="1"/>
  <c r="O107" i="1"/>
  <c r="O106" i="1"/>
  <c r="J113" i="1"/>
  <c r="J112" i="1"/>
  <c r="J110" i="1"/>
  <c r="J109" i="1"/>
  <c r="J108" i="1"/>
  <c r="J111" i="1"/>
  <c r="J107" i="1"/>
  <c r="J106" i="1"/>
  <c r="I113" i="1"/>
  <c r="I112" i="1"/>
  <c r="I110" i="1"/>
  <c r="I109" i="1"/>
  <c r="I108" i="1"/>
  <c r="I111" i="1"/>
  <c r="I107" i="1"/>
  <c r="I106" i="1"/>
  <c r="H113" i="1"/>
  <c r="H112" i="1"/>
  <c r="H110" i="1"/>
  <c r="H109" i="1"/>
  <c r="H108" i="1"/>
  <c r="H111" i="1"/>
  <c r="H107" i="1"/>
  <c r="H106" i="1"/>
  <c r="G113" i="1"/>
  <c r="G112" i="1"/>
  <c r="G110" i="1"/>
  <c r="G109" i="1"/>
  <c r="G108" i="1"/>
  <c r="G111" i="1"/>
  <c r="G107" i="1"/>
  <c r="G106" i="1"/>
  <c r="F113" i="1"/>
  <c r="F112" i="1"/>
  <c r="F110" i="1"/>
  <c r="F109" i="1"/>
  <c r="F108" i="1"/>
  <c r="F111" i="1"/>
  <c r="F107" i="1"/>
  <c r="F106" i="1"/>
  <c r="D1186" i="1" l="1"/>
  <c r="O102" i="1"/>
  <c r="O104" i="1"/>
  <c r="O105" i="1"/>
  <c r="O100" i="1"/>
  <c r="O101" i="1"/>
  <c r="O98" i="1"/>
  <c r="O97" i="1"/>
  <c r="O95" i="1"/>
  <c r="O96" i="1"/>
  <c r="O94" i="1"/>
  <c r="O93" i="1"/>
  <c r="G93" i="1"/>
  <c r="G101" i="1"/>
  <c r="G97" i="1"/>
  <c r="G96" i="1"/>
  <c r="G95" i="1"/>
  <c r="F105" i="1"/>
  <c r="F104" i="1"/>
  <c r="F102" i="1"/>
  <c r="F101" i="1"/>
  <c r="F97" i="1"/>
  <c r="F96" i="1"/>
  <c r="F95" i="1"/>
  <c r="F93" i="1"/>
  <c r="G92" i="1"/>
  <c r="O92" i="1"/>
  <c r="F92" i="1"/>
  <c r="O91" i="1"/>
  <c r="O90" i="1"/>
  <c r="J88" i="1"/>
  <c r="I87" i="1"/>
  <c r="I84" i="1" s="1"/>
  <c r="H88" i="1"/>
  <c r="G88" i="1"/>
  <c r="F88" i="1"/>
  <c r="O88" i="1"/>
  <c r="Q90" i="1"/>
  <c r="S90" i="1"/>
  <c r="Q91" i="1"/>
  <c r="S91" i="1"/>
  <c r="Q92" i="1"/>
  <c r="S92" i="1"/>
  <c r="Q93" i="1"/>
  <c r="S93" i="1"/>
  <c r="Q94" i="1"/>
  <c r="S94" i="1"/>
  <c r="Q95" i="1"/>
  <c r="S95" i="1"/>
  <c r="Q96" i="1"/>
  <c r="S96" i="1"/>
  <c r="Q97" i="1"/>
  <c r="S97" i="1"/>
  <c r="Q98" i="1"/>
  <c r="S98" i="1"/>
  <c r="Q100" i="1"/>
  <c r="S100" i="1"/>
  <c r="Q101" i="1"/>
  <c r="S101" i="1"/>
  <c r="Q102" i="1"/>
  <c r="S102" i="1"/>
  <c r="Q104" i="1"/>
  <c r="S104" i="1"/>
  <c r="Q105" i="1"/>
  <c r="S105" i="1"/>
  <c r="Q106" i="1"/>
  <c r="S106" i="1"/>
  <c r="Q107" i="1"/>
  <c r="S107" i="1"/>
  <c r="Q111" i="1"/>
  <c r="S111" i="1"/>
  <c r="Q108" i="1"/>
  <c r="S108" i="1"/>
  <c r="Q109" i="1"/>
  <c r="S109" i="1"/>
  <c r="Q110" i="1"/>
  <c r="S110" i="1"/>
  <c r="Q112" i="1"/>
  <c r="S112" i="1"/>
  <c r="Q113" i="1"/>
  <c r="S113" i="1"/>
  <c r="Q125" i="1"/>
  <c r="S125" i="1"/>
  <c r="S89" i="1"/>
  <c r="Q89" i="1"/>
  <c r="S88" i="1"/>
  <c r="Q88" i="1"/>
  <c r="S87" i="1"/>
  <c r="Q87" i="1"/>
  <c r="O87" i="1"/>
  <c r="J87" i="1"/>
  <c r="H87" i="1"/>
  <c r="G87" i="1"/>
  <c r="F87" i="1"/>
  <c r="F84" i="1" l="1"/>
  <c r="G84" i="1"/>
  <c r="H84" i="1"/>
  <c r="J84" i="1"/>
  <c r="O84" i="1"/>
  <c r="Q84" i="1"/>
  <c r="S84" i="1"/>
  <c r="O79" i="1"/>
  <c r="J79" i="1"/>
  <c r="H79" i="1"/>
  <c r="F79" i="1"/>
  <c r="O77" i="1"/>
  <c r="J77" i="1"/>
  <c r="H77" i="1"/>
  <c r="F77" i="1"/>
  <c r="S77" i="1"/>
  <c r="S79" i="1"/>
  <c r="Q77" i="1"/>
  <c r="Q79" i="1"/>
  <c r="Q76" i="1"/>
  <c r="J76" i="1"/>
  <c r="H76" i="1"/>
  <c r="H75" i="1" s="1"/>
  <c r="S15" i="1"/>
  <c r="S18" i="1"/>
  <c r="S19" i="1"/>
  <c r="S20" i="1"/>
  <c r="S21" i="1"/>
  <c r="S23" i="1"/>
  <c r="S16" i="1"/>
  <c r="S17" i="1"/>
  <c r="S26" i="1"/>
  <c r="S29" i="1"/>
  <c r="S30" i="1"/>
  <c r="S31" i="1"/>
  <c r="S37" i="1"/>
  <c r="S34" i="1"/>
  <c r="S35" i="1"/>
  <c r="S36" i="1"/>
  <c r="S38" i="1"/>
  <c r="S40" i="1"/>
  <c r="S43" i="1"/>
  <c r="S46" i="1"/>
  <c r="S49" i="1"/>
  <c r="S50" i="1"/>
  <c r="S54" i="1"/>
  <c r="S55" i="1"/>
  <c r="S56" i="1"/>
  <c r="S57" i="1"/>
  <c r="S14" i="1"/>
  <c r="Q15" i="1"/>
  <c r="Q18" i="1"/>
  <c r="Q19" i="1"/>
  <c r="Q20" i="1"/>
  <c r="Q21" i="1"/>
  <c r="Q22" i="1"/>
  <c r="Q23" i="1"/>
  <c r="Q16" i="1"/>
  <c r="Q17" i="1"/>
  <c r="Q26" i="1"/>
  <c r="Q29" i="1"/>
  <c r="Q30" i="1"/>
  <c r="Q31" i="1"/>
  <c r="Q37" i="1"/>
  <c r="Q34" i="1"/>
  <c r="Q35" i="1"/>
  <c r="Q36" i="1"/>
  <c r="Q38" i="1"/>
  <c r="Q40" i="1"/>
  <c r="Q43" i="1"/>
  <c r="Q46" i="1"/>
  <c r="Q49" i="1"/>
  <c r="Q50" i="1"/>
  <c r="Q51" i="1"/>
  <c r="Q54" i="1"/>
  <c r="Q55" i="1"/>
  <c r="Q56" i="1"/>
  <c r="Q57" i="1"/>
  <c r="M15" i="1"/>
  <c r="M18" i="1"/>
  <c r="M19" i="1"/>
  <c r="M20" i="1"/>
  <c r="M21" i="1"/>
  <c r="M22" i="1"/>
  <c r="M23" i="1"/>
  <c r="M16" i="1"/>
  <c r="M17" i="1"/>
  <c r="M26" i="1"/>
  <c r="M29" i="1"/>
  <c r="M30" i="1"/>
  <c r="M31" i="1"/>
  <c r="M37" i="1"/>
  <c r="M34" i="1"/>
  <c r="M35" i="1"/>
  <c r="M36" i="1"/>
  <c r="M38" i="1"/>
  <c r="M40" i="1"/>
  <c r="M43" i="1"/>
  <c r="M46" i="1"/>
  <c r="M49" i="1"/>
  <c r="M50" i="1"/>
  <c r="M51" i="1"/>
  <c r="M54" i="1"/>
  <c r="M55" i="1"/>
  <c r="M56" i="1"/>
  <c r="M57" i="1"/>
  <c r="M14" i="1"/>
  <c r="D14" i="1" s="1"/>
  <c r="Q74" i="1"/>
  <c r="Q73" i="1"/>
  <c r="S74" i="1"/>
  <c r="S73" i="1"/>
  <c r="O74" i="1"/>
  <c r="O73" i="1"/>
  <c r="F74" i="1"/>
  <c r="G74" i="1"/>
  <c r="H74" i="1"/>
  <c r="I74" i="1"/>
  <c r="J74" i="1"/>
  <c r="J73" i="1"/>
  <c r="I73" i="1"/>
  <c r="H73" i="1"/>
  <c r="H72" i="1" s="1"/>
  <c r="G73" i="1"/>
  <c r="F73" i="1"/>
  <c r="E149" i="1"/>
  <c r="D149" i="1" s="1"/>
  <c r="E150" i="1"/>
  <c r="D150" i="1" s="1"/>
  <c r="E151" i="1"/>
  <c r="D151" i="1" s="1"/>
  <c r="E152" i="1"/>
  <c r="D152" i="1" s="1"/>
  <c r="E132" i="1"/>
  <c r="D132" i="1" s="1"/>
  <c r="E133" i="1"/>
  <c r="D133" i="1" s="1"/>
  <c r="E135" i="1"/>
  <c r="D135" i="1" s="1"/>
  <c r="E136" i="1"/>
  <c r="D136" i="1" s="1"/>
  <c r="E137" i="1"/>
  <c r="D137" i="1" s="1"/>
  <c r="E138" i="1"/>
  <c r="D138" i="1" s="1"/>
  <c r="E139" i="1"/>
  <c r="D139" i="1" s="1"/>
  <c r="E140" i="1"/>
  <c r="D140" i="1" s="1"/>
  <c r="E141" i="1"/>
  <c r="D141" i="1" s="1"/>
  <c r="E143" i="1"/>
  <c r="D143" i="1" s="1"/>
  <c r="E145" i="1"/>
  <c r="D145" i="1" s="1"/>
  <c r="E146" i="1"/>
  <c r="D146" i="1" s="1"/>
  <c r="E147" i="1"/>
  <c r="D147" i="1" s="1"/>
  <c r="E131" i="1"/>
  <c r="D131" i="1" s="1"/>
  <c r="E88" i="1"/>
  <c r="D88" i="1" s="1"/>
  <c r="E89" i="1"/>
  <c r="D89" i="1" s="1"/>
  <c r="E90" i="1"/>
  <c r="D90" i="1" s="1"/>
  <c r="E91" i="1"/>
  <c r="D91" i="1" s="1"/>
  <c r="E92" i="1"/>
  <c r="D92" i="1" s="1"/>
  <c r="E93" i="1"/>
  <c r="D93" i="1" s="1"/>
  <c r="E94" i="1"/>
  <c r="D94" i="1" s="1"/>
  <c r="E95" i="1"/>
  <c r="D95" i="1" s="1"/>
  <c r="E96" i="1"/>
  <c r="D96" i="1" s="1"/>
  <c r="E97" i="1"/>
  <c r="D97" i="1" s="1"/>
  <c r="E98" i="1"/>
  <c r="D98" i="1" s="1"/>
  <c r="E100" i="1"/>
  <c r="D100" i="1" s="1"/>
  <c r="E101" i="1"/>
  <c r="D101" i="1" s="1"/>
  <c r="E102" i="1"/>
  <c r="D102" i="1" s="1"/>
  <c r="E104" i="1"/>
  <c r="D104" i="1" s="1"/>
  <c r="E105" i="1"/>
  <c r="D105" i="1" s="1"/>
  <c r="E106" i="1"/>
  <c r="D106" i="1" s="1"/>
  <c r="E107" i="1"/>
  <c r="D107" i="1" s="1"/>
  <c r="E111" i="1"/>
  <c r="D111" i="1" s="1"/>
  <c r="E108" i="1"/>
  <c r="D108" i="1" s="1"/>
  <c r="E109" i="1"/>
  <c r="D109" i="1" s="1"/>
  <c r="E110" i="1"/>
  <c r="D110" i="1" s="1"/>
  <c r="E112" i="1"/>
  <c r="D112" i="1" s="1"/>
  <c r="E113" i="1"/>
  <c r="D113" i="1" s="1"/>
  <c r="E125" i="1"/>
  <c r="D125" i="1" s="1"/>
  <c r="E87" i="1"/>
  <c r="D87" i="1" s="1"/>
  <c r="J62" i="1"/>
  <c r="J58" i="1" s="1"/>
  <c r="I62" i="1"/>
  <c r="I58" i="1" s="1"/>
  <c r="H62" i="1"/>
  <c r="H58" i="1" s="1"/>
  <c r="G62" i="1"/>
  <c r="G58" i="1" s="1"/>
  <c r="O75" i="1" l="1"/>
  <c r="I72" i="1"/>
  <c r="J72" i="1"/>
  <c r="Q72" i="1"/>
  <c r="Q75" i="1"/>
  <c r="G72" i="1"/>
  <c r="J75" i="1"/>
  <c r="S75" i="1"/>
  <c r="F75" i="1"/>
  <c r="F72" i="1"/>
  <c r="S72" i="1"/>
  <c r="E148" i="1"/>
  <c r="O72" i="1"/>
  <c r="S11" i="1"/>
  <c r="M11" i="1"/>
  <c r="M10" i="1" s="1"/>
  <c r="E84" i="1"/>
  <c r="E130" i="1"/>
  <c r="Q11" i="1"/>
  <c r="I10" i="1"/>
  <c r="I8" i="1" s="1"/>
  <c r="G10" i="1"/>
  <c r="G8" i="1" s="1"/>
  <c r="D148" i="1"/>
  <c r="E77" i="1"/>
  <c r="D77" i="1" s="1"/>
  <c r="E79" i="1"/>
  <c r="D79" i="1" s="1"/>
  <c r="E73" i="1"/>
  <c r="D73" i="1" s="1"/>
  <c r="E74" i="1"/>
  <c r="D74" i="1" s="1"/>
  <c r="E76" i="1"/>
  <c r="D76" i="1" s="1"/>
  <c r="O62" i="1"/>
  <c r="O58" i="1" s="1"/>
  <c r="E62" i="1"/>
  <c r="E15" i="1"/>
  <c r="D15" i="1" s="1"/>
  <c r="E18" i="1"/>
  <c r="D18" i="1" s="1"/>
  <c r="E19" i="1"/>
  <c r="D19" i="1" s="1"/>
  <c r="E20" i="1"/>
  <c r="D20" i="1" s="1"/>
  <c r="E21" i="1"/>
  <c r="D21" i="1" s="1"/>
  <c r="E22" i="1"/>
  <c r="D22" i="1" s="1"/>
  <c r="E23" i="1"/>
  <c r="D23" i="1" s="1"/>
  <c r="E16" i="1"/>
  <c r="D16" i="1" s="1"/>
  <c r="E17" i="1"/>
  <c r="D17" i="1" s="1"/>
  <c r="E26" i="1"/>
  <c r="D26" i="1" s="1"/>
  <c r="E29" i="1"/>
  <c r="D29" i="1" s="1"/>
  <c r="E30" i="1"/>
  <c r="D30" i="1" s="1"/>
  <c r="E31" i="1"/>
  <c r="D31" i="1" s="1"/>
  <c r="E37" i="1"/>
  <c r="D37" i="1" s="1"/>
  <c r="E34" i="1"/>
  <c r="D34" i="1" s="1"/>
  <c r="E35" i="1"/>
  <c r="D35" i="1" s="1"/>
  <c r="E36" i="1"/>
  <c r="D36" i="1" s="1"/>
  <c r="E38" i="1"/>
  <c r="D38" i="1" s="1"/>
  <c r="E40" i="1"/>
  <c r="D40" i="1" s="1"/>
  <c r="E43" i="1"/>
  <c r="D43" i="1" s="1"/>
  <c r="E46" i="1"/>
  <c r="D46" i="1" s="1"/>
  <c r="E49" i="1"/>
  <c r="D49" i="1" s="1"/>
  <c r="E50" i="1"/>
  <c r="D50" i="1" s="1"/>
  <c r="E51" i="1"/>
  <c r="D51" i="1" s="1"/>
  <c r="E54" i="1"/>
  <c r="D54" i="1" s="1"/>
  <c r="E55" i="1"/>
  <c r="D55" i="1" s="1"/>
  <c r="E56" i="1"/>
  <c r="D56" i="1" s="1"/>
  <c r="E57" i="1"/>
  <c r="D57" i="1" s="1"/>
  <c r="E58" i="1" l="1"/>
  <c r="D62" i="1"/>
  <c r="D58" i="1" s="1"/>
  <c r="E75" i="1"/>
  <c r="E72" i="1"/>
  <c r="D130" i="1"/>
  <c r="E11" i="1"/>
  <c r="D84" i="1"/>
  <c r="J10" i="1"/>
  <c r="J8" i="1" s="1"/>
  <c r="H10" i="1"/>
  <c r="H8" i="1" s="1"/>
  <c r="Q10" i="1"/>
  <c r="F10" i="1"/>
  <c r="F8" i="1" s="1"/>
  <c r="S10" i="1"/>
  <c r="O10" i="1"/>
  <c r="D75" i="1"/>
  <c r="D11" i="1"/>
  <c r="D72" i="1"/>
  <c r="E10" i="1" l="1"/>
  <c r="E8" i="1" s="1"/>
  <c r="B1229" i="1"/>
  <c r="B1227" i="1"/>
  <c r="B1213" i="1"/>
  <c r="B1214" i="1"/>
  <c r="B1194" i="1"/>
  <c r="D10" i="1" l="1"/>
  <c r="B2322" i="1"/>
  <c r="B2758" i="1"/>
  <c r="B2759" i="1"/>
  <c r="B2757" i="1"/>
  <c r="B2755" i="1"/>
  <c r="B2754" i="1"/>
  <c r="B2753" i="1"/>
  <c r="B2752" i="1"/>
  <c r="B2751" i="1"/>
  <c r="B2750" i="1"/>
  <c r="B2749" i="1"/>
  <c r="B2748" i="1"/>
  <c r="B2747" i="1"/>
  <c r="B2746" i="1"/>
  <c r="B2744" i="1"/>
  <c r="B1883" i="1"/>
  <c r="B2743" i="1"/>
  <c r="B2742" i="1"/>
  <c r="B2741" i="1"/>
  <c r="B2740" i="1"/>
  <c r="B1881" i="1"/>
  <c r="B2739" i="1"/>
  <c r="B2736" i="1"/>
  <c r="B2735" i="1"/>
  <c r="B2732" i="1"/>
  <c r="B2731" i="1"/>
  <c r="B2730" i="1"/>
  <c r="B2729" i="1"/>
  <c r="B2728" i="1"/>
  <c r="B2727" i="1"/>
  <c r="B2710" i="1"/>
  <c r="B2711" i="1"/>
  <c r="B2712" i="1"/>
  <c r="B2709" i="1"/>
  <c r="B2705" i="1"/>
  <c r="B2707" i="1"/>
  <c r="B2701" i="1"/>
  <c r="B2702" i="1"/>
  <c r="B2703" i="1"/>
  <c r="B2700" i="1"/>
  <c r="B2695" i="1"/>
  <c r="B2696" i="1"/>
  <c r="B2697" i="1"/>
  <c r="B2698" i="1"/>
  <c r="B2691" i="1"/>
  <c r="B2670" i="1"/>
  <c r="B2676" i="1"/>
  <c r="B2677" i="1"/>
  <c r="B2678" i="1"/>
  <c r="B2680" i="1"/>
  <c r="B2683" i="1"/>
  <c r="B2684" i="1"/>
  <c r="B2685" i="1"/>
  <c r="B2686" i="1"/>
  <c r="B2669" i="1"/>
  <c r="B2618" i="1"/>
  <c r="B2619" i="1"/>
  <c r="B2620" i="1"/>
  <c r="B2630" i="1"/>
  <c r="B2631" i="1"/>
  <c r="B2632" i="1"/>
  <c r="B2633" i="1"/>
  <c r="B2635" i="1"/>
  <c r="B2636" i="1"/>
  <c r="B2637" i="1"/>
  <c r="B2638" i="1"/>
  <c r="B2639" i="1"/>
  <c r="B2640" i="1"/>
  <c r="B2641" i="1"/>
  <c r="B2645" i="1"/>
  <c r="B2646" i="1"/>
  <c r="B2649" i="1"/>
  <c r="B2650" i="1"/>
  <c r="B2651" i="1"/>
  <c r="B2652" i="1"/>
  <c r="B2653" i="1"/>
  <c r="B2658" i="1"/>
  <c r="B2662" i="1"/>
  <c r="B2659" i="1"/>
  <c r="B2660" i="1"/>
  <c r="B2667" i="1"/>
  <c r="B2617" i="1"/>
  <c r="B2726" i="1"/>
  <c r="B2725" i="1"/>
  <c r="B2724" i="1"/>
  <c r="B2722" i="1"/>
  <c r="B2721" i="1"/>
  <c r="B2718" i="1"/>
  <c r="B2717" i="1"/>
  <c r="B2716" i="1"/>
  <c r="B2714" i="1"/>
  <c r="B2615" i="1"/>
  <c r="B2612" i="1"/>
  <c r="B2611" i="1"/>
  <c r="B2610" i="1"/>
  <c r="B2609" i="1"/>
  <c r="B2608" i="1"/>
  <c r="B2607" i="1"/>
  <c r="B2606" i="1"/>
  <c r="B2605" i="1"/>
  <c r="B2599" i="1"/>
  <c r="B2598" i="1"/>
  <c r="B2597" i="1"/>
  <c r="B2596" i="1"/>
  <c r="B2594" i="1"/>
  <c r="B2593" i="1"/>
  <c r="B2589" i="1"/>
  <c r="B2590" i="1"/>
  <c r="B2588" i="1"/>
  <c r="B2587" i="1"/>
  <c r="B2585" i="1"/>
  <c r="B2584" i="1"/>
  <c r="B2581" i="1"/>
  <c r="B2580" i="1"/>
  <c r="B2576" i="1"/>
  <c r="B2575" i="1"/>
  <c r="B2574" i="1"/>
  <c r="B2573" i="1"/>
  <c r="B2572" i="1"/>
  <c r="B2571" i="1"/>
  <c r="B2570" i="1"/>
  <c r="B2569" i="1"/>
  <c r="B2578" i="1"/>
  <c r="B2577" i="1"/>
  <c r="B2568" i="1"/>
  <c r="B2567" i="1"/>
  <c r="B2564" i="1"/>
  <c r="B2563" i="1"/>
  <c r="B2562" i="1"/>
  <c r="B2561" i="1"/>
  <c r="B2557" i="1"/>
  <c r="B2553" i="1"/>
  <c r="B2551" i="1"/>
  <c r="B2550" i="1"/>
  <c r="B2546" i="1"/>
  <c r="B2545" i="1"/>
  <c r="B2544" i="1"/>
  <c r="B2543" i="1"/>
  <c r="B2542" i="1"/>
  <c r="B2540" i="1"/>
  <c r="B2539" i="1"/>
  <c r="B2538" i="1"/>
  <c r="B2537" i="1"/>
  <c r="B2536" i="1"/>
  <c r="B2535" i="1"/>
  <c r="B2534" i="1"/>
  <c r="B2529" i="1"/>
  <c r="B2528" i="1"/>
  <c r="B2527" i="1"/>
  <c r="B2526" i="1"/>
  <c r="B2525" i="1"/>
  <c r="B2524" i="1"/>
  <c r="B2523" i="1"/>
  <c r="B2518" i="1"/>
  <c r="B2516" i="1"/>
  <c r="B2514" i="1"/>
  <c r="B2511" i="1"/>
  <c r="B2509" i="1"/>
  <c r="B2508" i="1"/>
  <c r="B2506" i="1"/>
  <c r="B2504" i="1"/>
  <c r="B2503" i="1"/>
  <c r="B2502" i="1"/>
  <c r="B2501" i="1"/>
  <c r="B2500" i="1"/>
  <c r="B2499" i="1"/>
  <c r="B2498" i="1"/>
  <c r="B2497" i="1"/>
  <c r="B2496" i="1"/>
  <c r="B2495" i="1"/>
  <c r="B2494" i="1"/>
  <c r="B2493" i="1"/>
  <c r="B2492" i="1"/>
  <c r="B2491" i="1"/>
  <c r="B2490" i="1"/>
  <c r="B2489" i="1"/>
  <c r="B2488" i="1"/>
  <c r="B2487" i="1"/>
  <c r="B2486" i="1"/>
  <c r="B2485" i="1"/>
  <c r="B2484" i="1"/>
  <c r="B2483" i="1"/>
  <c r="B2482" i="1"/>
  <c r="B2481" i="1"/>
  <c r="B2480" i="1"/>
  <c r="B2479" i="1"/>
  <c r="B2478" i="1"/>
  <c r="B2477" i="1"/>
  <c r="B2464" i="1"/>
  <c r="B2463" i="1"/>
  <c r="B2462" i="1"/>
  <c r="B2461" i="1"/>
  <c r="B2460" i="1"/>
  <c r="B2459" i="1"/>
  <c r="B2456" i="1"/>
  <c r="B2454" i="1"/>
  <c r="B2451" i="1"/>
  <c r="B2448" i="1"/>
  <c r="B2447" i="1"/>
  <c r="B2446" i="1"/>
  <c r="B2445" i="1"/>
  <c r="B2444" i="1"/>
  <c r="B2443" i="1"/>
  <c r="B2442" i="1"/>
  <c r="B2440" i="1"/>
  <c r="B2438" i="1"/>
  <c r="B2437" i="1"/>
  <c r="B2435" i="1"/>
  <c r="B2433" i="1"/>
  <c r="B2432" i="1"/>
  <c r="B2431" i="1"/>
  <c r="B2430" i="1"/>
  <c r="B2424" i="1"/>
  <c r="B2423" i="1"/>
  <c r="B2422" i="1"/>
  <c r="B2419" i="1"/>
  <c r="B2418" i="1"/>
  <c r="B2417" i="1"/>
  <c r="B2415" i="1"/>
  <c r="B2414" i="1"/>
  <c r="B2413" i="1"/>
  <c r="B2412" i="1"/>
  <c r="B2404" i="1"/>
  <c r="B2411" i="1"/>
  <c r="B2410" i="1"/>
  <c r="B2403" i="1"/>
  <c r="B2402" i="1"/>
  <c r="B2401" i="1"/>
  <c r="B2394" i="1"/>
  <c r="B2392" i="1"/>
  <c r="B2390" i="1"/>
  <c r="B2389" i="1"/>
  <c r="B2385" i="1"/>
  <c r="B2388" i="1"/>
  <c r="B2387" i="1"/>
  <c r="B2381" i="1"/>
  <c r="B2380" i="1"/>
  <c r="B2373" i="1"/>
  <c r="B2372" i="1"/>
  <c r="B2370" i="1"/>
  <c r="B2369" i="1"/>
  <c r="B2368" i="1"/>
  <c r="B2378" i="1"/>
  <c r="B2377" i="1"/>
  <c r="B2376" i="1"/>
  <c r="B2375" i="1"/>
  <c r="B2374" i="1"/>
  <c r="B2366" i="1"/>
  <c r="B2365" i="1"/>
  <c r="B2364" i="1"/>
  <c r="B2363" i="1"/>
  <c r="B2360" i="1"/>
  <c r="B2357" i="1"/>
  <c r="B2355" i="1"/>
  <c r="B2354" i="1"/>
  <c r="B2353" i="1"/>
  <c r="B2351" i="1"/>
  <c r="B2349" i="1"/>
  <c r="B2348" i="1"/>
  <c r="B2347" i="1"/>
  <c r="B2346" i="1"/>
  <c r="B2336" i="1"/>
  <c r="B2338" i="1"/>
  <c r="B2339" i="1"/>
  <c r="B2340" i="1"/>
  <c r="B2341" i="1"/>
  <c r="B2342" i="1"/>
  <c r="B2343" i="1"/>
  <c r="B2344" i="1"/>
  <c r="B2345" i="1"/>
  <c r="B2335" i="1"/>
  <c r="B2319" i="1"/>
  <c r="B2321" i="1"/>
  <c r="B2323" i="1"/>
  <c r="B2331" i="1"/>
  <c r="B2329" i="1"/>
  <c r="B2330" i="1"/>
  <c r="B2316" i="1"/>
  <c r="B2291" i="1"/>
  <c r="B2292" i="1"/>
  <c r="B2293" i="1"/>
  <c r="B2294" i="1"/>
  <c r="B2295" i="1"/>
  <c r="B2297" i="1"/>
  <c r="B2298" i="1"/>
  <c r="B2299" i="1"/>
  <c r="B2300" i="1"/>
  <c r="B2301" i="1"/>
  <c r="B2303" i="1"/>
  <c r="B2304" i="1"/>
  <c r="B2305" i="1"/>
  <c r="B2306" i="1"/>
  <c r="B2310" i="1"/>
  <c r="B2311" i="1"/>
  <c r="B2313" i="1"/>
  <c r="B2314" i="1"/>
  <c r="B2312" i="1"/>
  <c r="B2289" i="1"/>
  <c r="B2246" i="1"/>
  <c r="B2247" i="1"/>
  <c r="B2248" i="1"/>
  <c r="B2249" i="1"/>
  <c r="B2250" i="1"/>
  <c r="B2253" i="1"/>
  <c r="B2261" i="1"/>
  <c r="B2264" i="1"/>
  <c r="B2266" i="1"/>
  <c r="B2265" i="1"/>
  <c r="B2268" i="1"/>
  <c r="B2269" i="1"/>
  <c r="B2270" i="1"/>
  <c r="B2271" i="1"/>
  <c r="B2272" i="1"/>
  <c r="B2273" i="1"/>
  <c r="B2274" i="1"/>
  <c r="B2276" i="1"/>
  <c r="B2277" i="1"/>
  <c r="B2278" i="1"/>
  <c r="B2279" i="1"/>
  <c r="B2281" i="1"/>
  <c r="B2282" i="1"/>
  <c r="B2283" i="1"/>
  <c r="B2284" i="1"/>
  <c r="B2243" i="1"/>
  <c r="B2204" i="1"/>
  <c r="B2205" i="1"/>
  <c r="B2206" i="1"/>
  <c r="B2207" i="1"/>
  <c r="B2208" i="1"/>
  <c r="B2210" i="1"/>
  <c r="B2211" i="1"/>
  <c r="B2212" i="1"/>
  <c r="B2213" i="1"/>
  <c r="B2214" i="1"/>
  <c r="B2216" i="1"/>
  <c r="B2219" i="1"/>
  <c r="B2221" i="1"/>
  <c r="B2222" i="1"/>
  <c r="B2223" i="1"/>
  <c r="B2224" i="1"/>
  <c r="B2226" i="1"/>
  <c r="B2227" i="1"/>
  <c r="B2228" i="1"/>
  <c r="B2231" i="1"/>
  <c r="B2232" i="1"/>
  <c r="B2233" i="1"/>
  <c r="B2234" i="1"/>
  <c r="B2235" i="1"/>
  <c r="B2237" i="1"/>
  <c r="B2238" i="1"/>
  <c r="B2239" i="1"/>
  <c r="B2240" i="1"/>
  <c r="B2241" i="1"/>
  <c r="B2203" i="1"/>
  <c r="B2201" i="1"/>
  <c r="B2200" i="1"/>
  <c r="B2194" i="1"/>
  <c r="B2192" i="1"/>
  <c r="B2193" i="1"/>
  <c r="B2195" i="1"/>
  <c r="B2196" i="1"/>
  <c r="B2197" i="1"/>
  <c r="B2198" i="1"/>
  <c r="B2189" i="1"/>
  <c r="B2177" i="1"/>
  <c r="B2178" i="1"/>
  <c r="B2179" i="1"/>
  <c r="B2180" i="1"/>
  <c r="B2181" i="1"/>
  <c r="B2184" i="1"/>
  <c r="B2185" i="1"/>
  <c r="B2186" i="1"/>
  <c r="B2182" i="1"/>
  <c r="B2183" i="1"/>
  <c r="B2187" i="1"/>
  <c r="B2171" i="1"/>
  <c r="B2150" i="1"/>
  <c r="B2151" i="1"/>
  <c r="B2152" i="1"/>
  <c r="B2153" i="1"/>
  <c r="B2154" i="1"/>
  <c r="B2155" i="1"/>
  <c r="B2156" i="1"/>
  <c r="B2159" i="1"/>
  <c r="B2157" i="1"/>
  <c r="B2158" i="1"/>
  <c r="B2160" i="1"/>
  <c r="B2162" i="1"/>
  <c r="B2163" i="1"/>
  <c r="B2164" i="1"/>
  <c r="B2165" i="1"/>
  <c r="B2167" i="1"/>
  <c r="B2168" i="1"/>
  <c r="B2149" i="1"/>
  <c r="B2147" i="1"/>
  <c r="B2131" i="1"/>
  <c r="B2132" i="1"/>
  <c r="B2134" i="1"/>
  <c r="B2136" i="1"/>
  <c r="B2137" i="1"/>
  <c r="B2140" i="1"/>
  <c r="B2143" i="1"/>
  <c r="B2144" i="1"/>
  <c r="B2130" i="1"/>
  <c r="B2126" i="1"/>
  <c r="B2127" i="1"/>
  <c r="B2128" i="1"/>
  <c r="B2125" i="1"/>
  <c r="B2124" i="1"/>
  <c r="B2123" i="1"/>
  <c r="B2122" i="1"/>
  <c r="B2121" i="1"/>
  <c r="B2115" i="1"/>
  <c r="B2118" i="1"/>
  <c r="B2119" i="1"/>
  <c r="B2120" i="1"/>
  <c r="B2114" i="1"/>
  <c r="B2111" i="1"/>
  <c r="B2106" i="1" l="1"/>
  <c r="B2104" i="1"/>
  <c r="B2103" i="1"/>
  <c r="B2102" i="1"/>
  <c r="B2099" i="1"/>
  <c r="B2100" i="1"/>
  <c r="B2101" i="1"/>
  <c r="B2098" i="1"/>
  <c r="B2061" i="1"/>
  <c r="B2056" i="1"/>
  <c r="B2057" i="1"/>
  <c r="B2054" i="1"/>
  <c r="B2030" i="1"/>
  <c r="B2031" i="1"/>
  <c r="B2033" i="1"/>
  <c r="B2034" i="1"/>
  <c r="B2035" i="1"/>
  <c r="B2036" i="1"/>
  <c r="B2038" i="1"/>
  <c r="B2040" i="1"/>
  <c r="B2042" i="1"/>
  <c r="B2043" i="1"/>
  <c r="B2044" i="1"/>
  <c r="B2046" i="1"/>
  <c r="B2048" i="1"/>
  <c r="B2049" i="1"/>
  <c r="B2050" i="1"/>
  <c r="B2051" i="1"/>
  <c r="B2052" i="1"/>
  <c r="B2029" i="1"/>
  <c r="B2028" i="1"/>
  <c r="B2027" i="1"/>
  <c r="B2026" i="1"/>
  <c r="B2025" i="1"/>
  <c r="B2024" i="1"/>
  <c r="B2023" i="1"/>
  <c r="B2022" i="1"/>
  <c r="B2020" i="1"/>
  <c r="B2019" i="1"/>
  <c r="B2018" i="1"/>
  <c r="B1903" i="1"/>
  <c r="B2006" i="1"/>
  <c r="B2007" i="1"/>
  <c r="B2008" i="1"/>
  <c r="B2010" i="1"/>
  <c r="B2011" i="1"/>
  <c r="B2012" i="1"/>
  <c r="B2014" i="1"/>
  <c r="B2015" i="1"/>
  <c r="B2016" i="1"/>
  <c r="B2005" i="1"/>
  <c r="B1998" i="1"/>
  <c r="B1997" i="1"/>
  <c r="B1996" i="1"/>
  <c r="B1995" i="1"/>
  <c r="B1994" i="1"/>
  <c r="B1990" i="1"/>
  <c r="B1989" i="1"/>
  <c r="B1991" i="1"/>
  <c r="B1988" i="1"/>
  <c r="B1986" i="1"/>
  <c r="B1985" i="1"/>
  <c r="B1984" i="1"/>
  <c r="B1983" i="1"/>
  <c r="B1982" i="1"/>
  <c r="B1979" i="1"/>
  <c r="B1977" i="1"/>
  <c r="B1974" i="1"/>
  <c r="B1973" i="1"/>
  <c r="B1972" i="1"/>
  <c r="B1965" i="1"/>
  <c r="B1964" i="1"/>
  <c r="B1971" i="1"/>
  <c r="B1970" i="1"/>
  <c r="B1968" i="1"/>
  <c r="B1967" i="1"/>
  <c r="B1963" i="1"/>
  <c r="B1962" i="1"/>
  <c r="B1966" i="1"/>
  <c r="B1960" i="1"/>
  <c r="B1240" i="1"/>
  <c r="B1959" i="1"/>
  <c r="B1954" i="1"/>
  <c r="B1953" i="1"/>
  <c r="B1950" i="1"/>
  <c r="B1949" i="1"/>
  <c r="B1947" i="1"/>
  <c r="B1946" i="1"/>
  <c r="B1945" i="1"/>
  <c r="B1943" i="1"/>
  <c r="B1940" i="1"/>
  <c r="B1935" i="1"/>
  <c r="B1934" i="1"/>
  <c r="B1939" i="1"/>
  <c r="B1938" i="1"/>
  <c r="B1937" i="1"/>
  <c r="B1936" i="1"/>
  <c r="B1931" i="1"/>
  <c r="B1930" i="1"/>
  <c r="B1929" i="1"/>
  <c r="B1927" i="1"/>
  <c r="B1924" i="1"/>
  <c r="B1923" i="1"/>
  <c r="B1922" i="1"/>
  <c r="B1921" i="1"/>
  <c r="B1917" i="1"/>
  <c r="B1916" i="1"/>
  <c r="B1918" i="1"/>
  <c r="B1914" i="1"/>
  <c r="B1913" i="1"/>
  <c r="B1912" i="1"/>
  <c r="B1911" i="1"/>
  <c r="B1910" i="1"/>
  <c r="B1909" i="1"/>
  <c r="B1908" i="1"/>
  <c r="B1907" i="1"/>
  <c r="B1906" i="1"/>
  <c r="B1905" i="1"/>
  <c r="B1901" i="1"/>
  <c r="B1900" i="1"/>
  <c r="B1898" i="1"/>
  <c r="B1897" i="1"/>
  <c r="B1896" i="1"/>
  <c r="B1895" i="1"/>
  <c r="B1894" i="1"/>
  <c r="B1893" i="1"/>
  <c r="B1892" i="1"/>
  <c r="B1878" i="1"/>
  <c r="B1879" i="1"/>
  <c r="B1880" i="1"/>
  <c r="B1885" i="1"/>
  <c r="B1886" i="1"/>
  <c r="B1887" i="1"/>
  <c r="B1888" i="1"/>
  <c r="B1877" i="1"/>
  <c r="B1871" i="1"/>
  <c r="B1872" i="1"/>
  <c r="B1873" i="1"/>
  <c r="B1874" i="1"/>
  <c r="B1870" i="1"/>
  <c r="B1867" i="1"/>
  <c r="B1868" i="1"/>
  <c r="B1866" i="1"/>
  <c r="B1864" i="1"/>
  <c r="B1863" i="1"/>
  <c r="B1861" i="1"/>
  <c r="B1860" i="1"/>
  <c r="B1859" i="1"/>
  <c r="B1858" i="1"/>
  <c r="B1857" i="1"/>
  <c r="B1840" i="1"/>
  <c r="B1842" i="1"/>
  <c r="B1843" i="1"/>
  <c r="B1844" i="1"/>
  <c r="B1845" i="1"/>
  <c r="B1846" i="1"/>
  <c r="B1847" i="1"/>
  <c r="B1848" i="1"/>
  <c r="B1849" i="1"/>
  <c r="B1851" i="1"/>
  <c r="B1852" i="1"/>
  <c r="B1853" i="1"/>
  <c r="B1854" i="1"/>
  <c r="B1855" i="1"/>
  <c r="B1838" i="1"/>
  <c r="B1824" i="1"/>
  <c r="B1825" i="1"/>
  <c r="B1826" i="1"/>
  <c r="B1827" i="1"/>
  <c r="B1828" i="1"/>
  <c r="B1829" i="1"/>
  <c r="B1834" i="1"/>
  <c r="B1830" i="1"/>
  <c r="B1831" i="1"/>
  <c r="B1832" i="1"/>
  <c r="B1833" i="1"/>
  <c r="B1835" i="1"/>
  <c r="B1836" i="1"/>
  <c r="B1821" i="1"/>
  <c r="B1820" i="1"/>
  <c r="B1819" i="1"/>
  <c r="B1818" i="1"/>
  <c r="B1817" i="1"/>
  <c r="B1816" i="1"/>
  <c r="B1815" i="1"/>
  <c r="B1814" i="1"/>
  <c r="B1813" i="1"/>
  <c r="B1812" i="1"/>
  <c r="B1811" i="1"/>
  <c r="B1809" i="1"/>
  <c r="B1808" i="1"/>
  <c r="B1807" i="1"/>
  <c r="B1806" i="1"/>
  <c r="B1805" i="1"/>
  <c r="B1797" i="1"/>
  <c r="B1796" i="1"/>
  <c r="B1795" i="1"/>
  <c r="B1792" i="1"/>
  <c r="B1793" i="1"/>
  <c r="B1794" i="1"/>
  <c r="B1791" i="1"/>
  <c r="B1735" i="1"/>
  <c r="B1736" i="1"/>
  <c r="B1737" i="1"/>
  <c r="B1743" i="1"/>
  <c r="B1744" i="1"/>
  <c r="B1746" i="1"/>
  <c r="B1750" i="1"/>
  <c r="B1751" i="1"/>
  <c r="B1752" i="1"/>
  <c r="B836" i="1"/>
  <c r="B1747" i="1"/>
  <c r="B837" i="1"/>
  <c r="B1748" i="1"/>
  <c r="B1749" i="1"/>
  <c r="B1756" i="1"/>
  <c r="B1757" i="1"/>
  <c r="B868" i="1"/>
  <c r="B1758" i="1"/>
  <c r="B1759" i="1"/>
  <c r="B1763" i="1"/>
  <c r="B1760" i="1"/>
  <c r="B2583" i="1"/>
  <c r="B1761" i="1"/>
  <c r="B1764" i="1"/>
  <c r="B2586" i="1"/>
  <c r="B1765" i="1"/>
  <c r="B1768" i="1"/>
  <c r="B895" i="1"/>
  <c r="B1766" i="1"/>
  <c r="B1767" i="1"/>
  <c r="B911" i="1"/>
  <c r="B1773" i="1"/>
  <c r="B916" i="1"/>
  <c r="B1774" i="1"/>
  <c r="B2595" i="1"/>
  <c r="B936" i="1"/>
  <c r="B1775" i="1"/>
  <c r="B1778" i="1"/>
  <c r="B1779" i="1"/>
  <c r="B1780" i="1"/>
  <c r="B2602" i="1"/>
  <c r="B2603" i="1"/>
  <c r="B2604" i="1"/>
  <c r="B1776" i="1"/>
  <c r="B1777" i="1"/>
  <c r="B962" i="1"/>
  <c r="B1781" i="1"/>
  <c r="B974" i="1"/>
  <c r="B1782" i="1"/>
  <c r="B1783" i="1"/>
  <c r="B1784" i="1"/>
  <c r="B1785" i="1"/>
  <c r="B1788" i="1"/>
  <c r="B1010" i="1"/>
  <c r="B2614" i="1"/>
  <c r="B1789" i="1"/>
  <c r="B1742" i="1"/>
  <c r="B1741" i="1"/>
  <c r="B1740" i="1"/>
  <c r="B1739" i="1"/>
  <c r="B1738" i="1"/>
  <c r="B1734" i="1"/>
  <c r="B1726" i="1"/>
  <c r="B1725" i="1"/>
  <c r="B1724" i="1"/>
  <c r="B1723" i="1"/>
  <c r="B2549" i="1"/>
  <c r="B2548" i="1"/>
  <c r="B1731" i="1"/>
  <c r="B2547" i="1"/>
  <c r="B1730" i="1"/>
  <c r="B1729" i="1"/>
  <c r="B1728" i="1"/>
  <c r="B1727" i="1"/>
  <c r="B1721" i="1"/>
  <c r="B1717" i="1"/>
  <c r="B1720" i="1"/>
  <c r="B1719" i="1"/>
  <c r="B1718" i="1"/>
  <c r="B1716" i="1"/>
  <c r="B1714" i="1"/>
  <c r="B1712" i="1"/>
  <c r="B2530" i="1"/>
  <c r="B1711" i="1"/>
  <c r="B1710" i="1"/>
  <c r="B1709" i="1"/>
  <c r="B1708" i="1"/>
  <c r="B2522" i="1"/>
  <c r="B1707" i="1"/>
  <c r="B1706" i="1"/>
  <c r="B1705" i="1"/>
  <c r="B1702" i="1"/>
  <c r="B2520" i="1"/>
  <c r="B2519" i="1"/>
  <c r="B1701" i="1"/>
  <c r="B1700" i="1"/>
  <c r="B2517" i="1"/>
  <c r="B1699" i="1"/>
  <c r="B1698" i="1"/>
  <c r="B1697" i="1"/>
  <c r="B1696" i="1"/>
  <c r="B1695" i="1"/>
  <c r="B2515" i="1"/>
  <c r="B1694" i="1"/>
  <c r="B1693" i="1"/>
  <c r="B2513" i="1"/>
  <c r="B1692" i="1"/>
  <c r="B1690" i="1"/>
  <c r="B2510" i="1"/>
  <c r="B1687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0" i="1"/>
  <c r="B1664" i="1"/>
  <c r="B1663" i="1"/>
  <c r="B1662" i="1"/>
  <c r="B1661" i="1"/>
  <c r="B2476" i="1"/>
  <c r="B1660" i="1"/>
  <c r="B2475" i="1"/>
  <c r="B2474" i="1"/>
  <c r="B1659" i="1"/>
  <c r="B1658" i="1"/>
  <c r="B2473" i="1"/>
  <c r="B1657" i="1"/>
  <c r="B1656" i="1"/>
  <c r="B1655" i="1"/>
  <c r="B1654" i="1"/>
  <c r="B1653" i="1"/>
  <c r="B2472" i="1"/>
  <c r="B1652" i="1"/>
  <c r="B1651" i="1"/>
  <c r="B2471" i="1"/>
  <c r="B2470" i="1"/>
  <c r="B1649" i="1"/>
  <c r="B1648" i="1"/>
  <c r="B1647" i="1"/>
  <c r="B1646" i="1"/>
  <c r="B1644" i="1"/>
  <c r="B1642" i="1"/>
  <c r="B1640" i="1"/>
  <c r="B1639" i="1"/>
  <c r="B1638" i="1"/>
  <c r="B1637" i="1"/>
  <c r="B2458" i="1"/>
  <c r="B2457" i="1"/>
  <c r="B1636" i="1"/>
  <c r="B1635" i="1"/>
  <c r="B1634" i="1"/>
  <c r="B1633" i="1"/>
  <c r="B1632" i="1"/>
  <c r="B2453" i="1"/>
  <c r="B2452" i="1"/>
  <c r="B1631" i="1"/>
  <c r="B1630" i="1"/>
  <c r="B2450" i="1"/>
  <c r="B1629" i="1"/>
  <c r="B1627" i="1"/>
  <c r="B1628" i="1"/>
  <c r="B1626" i="1"/>
  <c r="B1625" i="1"/>
  <c r="B1623" i="1"/>
  <c r="B2439" i="1"/>
  <c r="B1622" i="1"/>
  <c r="B585" i="1"/>
  <c r="B1621" i="1"/>
  <c r="B1620" i="1"/>
  <c r="B1619" i="1"/>
  <c r="B2429" i="1"/>
  <c r="B576" i="1"/>
  <c r="B574" i="1"/>
  <c r="B1618" i="1"/>
  <c r="B573" i="1"/>
  <c r="B572" i="1"/>
  <c r="B1617" i="1"/>
  <c r="B570" i="1"/>
  <c r="B569" i="1"/>
  <c r="B2427" i="1"/>
  <c r="B1616" i="1"/>
  <c r="B1615" i="1"/>
  <c r="B1614" i="1"/>
  <c r="B2421" i="1"/>
  <c r="B1613" i="1"/>
  <c r="B1612" i="1"/>
  <c r="B1609" i="1"/>
  <c r="B1610" i="1"/>
  <c r="B1607" i="1"/>
  <c r="B1604" i="1"/>
  <c r="B2420" i="1"/>
  <c r="B1606" i="1"/>
  <c r="B1605" i="1"/>
  <c r="B1601" i="1"/>
  <c r="B1603" i="1"/>
  <c r="B1600" i="1"/>
  <c r="B1599" i="1"/>
  <c r="B2416" i="1"/>
  <c r="B1598" i="1"/>
  <c r="B1597" i="1"/>
  <c r="B1595" i="1"/>
  <c r="B1593" i="1"/>
  <c r="B1592" i="1"/>
  <c r="B2409" i="1"/>
  <c r="B1590" i="1"/>
  <c r="B1588" i="1"/>
  <c r="B2408" i="1"/>
  <c r="B2406" i="1"/>
  <c r="B1587" i="1"/>
  <c r="B2405" i="1"/>
  <c r="B1586" i="1"/>
  <c r="B1585" i="1"/>
  <c r="B1584" i="1"/>
  <c r="B1583" i="1"/>
  <c r="B1582" i="1"/>
  <c r="B1581" i="1"/>
  <c r="B1580" i="1"/>
  <c r="B1579" i="1"/>
  <c r="B1578" i="1"/>
  <c r="B1577" i="1"/>
  <c r="B1575" i="1"/>
  <c r="B1573" i="1"/>
  <c r="B473" i="1"/>
  <c r="B472" i="1"/>
  <c r="B1574" i="1"/>
  <c r="B1572" i="1"/>
  <c r="B1565" i="1"/>
  <c r="B1564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3" i="1"/>
  <c r="B1542" i="1"/>
  <c r="B1541" i="1"/>
  <c r="B1540" i="1"/>
  <c r="B1539" i="1"/>
  <c r="B1538" i="1"/>
  <c r="B1537" i="1"/>
  <c r="B1524" i="1"/>
  <c r="B1525" i="1"/>
  <c r="B1526" i="1"/>
  <c r="B1527" i="1"/>
  <c r="B1528" i="1"/>
  <c r="B1533" i="1"/>
  <c r="B1534" i="1"/>
  <c r="B1536" i="1"/>
  <c r="B1529" i="1"/>
  <c r="B1472" i="1"/>
  <c r="B1473" i="1"/>
  <c r="B1474" i="1"/>
  <c r="B1475" i="1"/>
  <c r="B1476" i="1"/>
  <c r="B1478" i="1"/>
  <c r="B1479" i="1"/>
  <c r="B1480" i="1"/>
  <c r="B1484" i="1"/>
  <c r="B1485" i="1"/>
  <c r="B1489" i="1"/>
  <c r="B1500" i="1"/>
  <c r="B1499" i="1"/>
  <c r="B1507" i="1"/>
  <c r="B1514" i="1"/>
  <c r="B1515" i="1"/>
  <c r="B1517" i="1"/>
  <c r="B1519" i="1"/>
  <c r="B1520" i="1"/>
  <c r="B1521" i="1"/>
  <c r="B1522" i="1"/>
  <c r="B1471" i="1"/>
  <c r="B1448" i="1"/>
  <c r="B1455" i="1"/>
  <c r="B1456" i="1"/>
  <c r="B1457" i="1"/>
  <c r="B1458" i="1"/>
  <c r="B1461" i="1"/>
  <c r="B1462" i="1"/>
  <c r="B1459" i="1"/>
  <c r="B1460" i="1"/>
  <c r="B1463" i="1"/>
  <c r="B1469" i="1"/>
  <c r="B1464" i="1"/>
  <c r="B1465" i="1"/>
  <c r="B1466" i="1"/>
  <c r="B1467" i="1"/>
  <c r="B1468" i="1"/>
  <c r="B1445" i="1"/>
  <c r="B1440" i="1"/>
  <c r="B1439" i="1"/>
  <c r="B1438" i="1"/>
  <c r="B1437" i="1"/>
  <c r="B1407" i="1"/>
  <c r="B1408" i="1"/>
  <c r="B1409" i="1"/>
  <c r="B1410" i="1"/>
  <c r="B1411" i="1"/>
  <c r="B1412" i="1"/>
  <c r="B1416" i="1"/>
  <c r="B1417" i="1"/>
  <c r="B1418" i="1"/>
  <c r="B1419" i="1"/>
  <c r="B1423" i="1"/>
  <c r="B1431" i="1"/>
  <c r="B1432" i="1"/>
  <c r="B1435" i="1"/>
  <c r="B1436" i="1"/>
  <c r="B1390" i="1"/>
  <c r="B1391" i="1"/>
  <c r="B1393" i="1"/>
  <c r="B1394" i="1"/>
  <c r="B1395" i="1"/>
  <c r="B1396" i="1"/>
  <c r="B1397" i="1"/>
  <c r="B1398" i="1"/>
  <c r="B1399" i="1"/>
  <c r="B1400" i="1"/>
  <c r="B1401" i="1"/>
  <c r="B1402" i="1"/>
  <c r="B1403" i="1"/>
  <c r="B1387" i="1"/>
  <c r="B1385" i="1"/>
  <c r="B1376" i="1"/>
  <c r="B1378" i="1"/>
  <c r="B1381" i="1"/>
  <c r="B1382" i="1"/>
  <c r="B1379" i="1"/>
  <c r="B1380" i="1"/>
  <c r="B1383" i="1"/>
  <c r="B1375" i="1"/>
  <c r="B1368" i="1"/>
  <c r="B1369" i="1"/>
  <c r="B1370" i="1"/>
  <c r="B1371" i="1"/>
  <c r="B1372" i="1"/>
  <c r="B1373" i="1"/>
  <c r="B1367" i="1"/>
  <c r="B1361" i="1"/>
  <c r="B1354" i="1"/>
  <c r="B1355" i="1"/>
  <c r="B1349" i="1"/>
  <c r="B1350" i="1"/>
  <c r="B1351" i="1"/>
  <c r="B1352" i="1"/>
  <c r="B1353" i="1"/>
  <c r="B1357" i="1"/>
  <c r="B1358" i="1"/>
  <c r="B1348" i="1"/>
  <c r="B1324" i="1"/>
  <c r="B1325" i="1"/>
  <c r="B1326" i="1"/>
  <c r="B1327" i="1"/>
  <c r="B1330" i="1"/>
  <c r="B1335" i="1"/>
  <c r="B1336" i="1"/>
  <c r="B1339" i="1"/>
  <c r="B1340" i="1"/>
  <c r="B1329" i="1"/>
  <c r="B1291" i="1"/>
  <c r="B1292" i="1"/>
  <c r="B1294" i="1"/>
  <c r="B1295" i="1"/>
  <c r="B1290" i="1"/>
  <c r="B1271" i="1"/>
  <c r="B1272" i="1"/>
  <c r="B1273" i="1"/>
  <c r="B1274" i="1"/>
  <c r="B1276" i="1"/>
  <c r="B1277" i="1"/>
  <c r="B1278" i="1"/>
  <c r="B1280" i="1"/>
  <c r="B1281" i="1"/>
  <c r="B1282" i="1"/>
  <c r="B1283" i="1"/>
  <c r="B1284" i="1"/>
  <c r="B1285" i="1"/>
  <c r="B1286" i="1"/>
  <c r="B1270" i="1"/>
  <c r="B1252" i="1"/>
  <c r="B1253" i="1"/>
  <c r="B1250" i="1"/>
  <c r="B1254" i="1"/>
  <c r="B1255" i="1"/>
  <c r="B1256" i="1"/>
  <c r="B1257" i="1"/>
  <c r="B1258" i="1"/>
  <c r="B1260" i="1"/>
  <c r="B1259" i="1"/>
  <c r="B1261" i="1"/>
  <c r="B1262" i="1"/>
  <c r="B1263" i="1"/>
  <c r="B1264" i="1"/>
  <c r="B1265" i="1"/>
  <c r="B1266" i="1"/>
  <c r="B1267" i="1"/>
  <c r="B1268" i="1"/>
  <c r="B1199" i="1"/>
  <c r="B1200" i="1"/>
  <c r="B1201" i="1"/>
  <c r="B1195" i="1"/>
  <c r="B1202" i="1"/>
  <c r="B1196" i="1"/>
  <c r="B1197" i="1"/>
  <c r="B1203" i="1"/>
  <c r="B1205" i="1"/>
  <c r="B1207" i="1"/>
  <c r="B1208" i="1"/>
  <c r="B1209" i="1"/>
  <c r="B1210" i="1"/>
  <c r="B1211" i="1"/>
  <c r="B1212" i="1"/>
  <c r="B1215" i="1"/>
  <c r="B1216" i="1"/>
  <c r="B1217" i="1"/>
  <c r="B1218" i="1"/>
  <c r="B1219" i="1"/>
  <c r="B1221" i="1"/>
  <c r="B1222" i="1"/>
  <c r="B1223" i="1"/>
  <c r="B1225" i="1"/>
  <c r="B1226" i="1"/>
  <c r="B1224" i="1"/>
  <c r="B1228" i="1"/>
  <c r="B1230" i="1"/>
  <c r="B1231" i="1"/>
  <c r="B1232" i="1"/>
  <c r="B1234" i="1"/>
  <c r="B1236" i="1"/>
  <c r="B1239" i="1"/>
  <c r="B1237" i="1"/>
  <c r="B1238" i="1"/>
  <c r="B1242" i="1"/>
  <c r="B1243" i="1"/>
  <c r="B1244" i="1"/>
  <c r="B1245" i="1"/>
  <c r="B1246" i="1"/>
  <c r="B1249" i="1"/>
  <c r="B1247" i="1"/>
  <c r="B1248" i="1"/>
  <c r="B1251" i="1"/>
  <c r="B1198" i="1"/>
  <c r="B1189" i="1"/>
  <c r="B1190" i="1"/>
  <c r="B1191" i="1"/>
  <c r="B1192" i="1"/>
  <c r="B1188" i="1"/>
  <c r="A79" i="1"/>
  <c r="A77" i="1"/>
  <c r="A76" i="1"/>
  <c r="A74" i="1" l="1"/>
  <c r="A73" i="1"/>
  <c r="A15" i="1"/>
  <c r="B15" i="1" s="1"/>
  <c r="A18" i="1"/>
  <c r="B18" i="1" s="1"/>
  <c r="A19" i="1"/>
  <c r="B19" i="1" s="1"/>
  <c r="A20" i="1"/>
  <c r="B20" i="1" s="1"/>
  <c r="A21" i="1"/>
  <c r="B21" i="1" s="1"/>
  <c r="A22" i="1"/>
  <c r="B22" i="1" s="1"/>
  <c r="A23" i="1"/>
  <c r="B23" i="1" s="1"/>
  <c r="A16" i="1"/>
  <c r="B16" i="1" s="1"/>
  <c r="A17" i="1"/>
  <c r="B17" i="1" s="1"/>
  <c r="A26" i="1"/>
  <c r="B26" i="1" s="1"/>
  <c r="A29" i="1"/>
  <c r="B29" i="1" s="1"/>
  <c r="A30" i="1"/>
  <c r="B30" i="1" s="1"/>
  <c r="A31" i="1"/>
  <c r="B31" i="1" s="1"/>
  <c r="A37" i="1"/>
  <c r="B37" i="1" s="1"/>
  <c r="A34" i="1"/>
  <c r="B34" i="1" s="1"/>
  <c r="A35" i="1"/>
  <c r="B35" i="1" s="1"/>
  <c r="A36" i="1"/>
  <c r="B36" i="1" s="1"/>
  <c r="A38" i="1"/>
  <c r="B38" i="1" s="1"/>
  <c r="A40" i="1"/>
  <c r="B40" i="1" s="1"/>
  <c r="A43" i="1"/>
  <c r="B43" i="1" s="1"/>
  <c r="A46" i="1"/>
  <c r="B46" i="1" s="1"/>
  <c r="A49" i="1"/>
  <c r="B49" i="1" s="1"/>
  <c r="A50" i="1"/>
  <c r="B50" i="1" s="1"/>
  <c r="A51" i="1"/>
  <c r="B51" i="1" s="1"/>
  <c r="A54" i="1"/>
  <c r="B54" i="1" s="1"/>
  <c r="A55" i="1"/>
  <c r="B55" i="1" s="1"/>
  <c r="A56" i="1"/>
  <c r="B56" i="1" s="1"/>
  <c r="A57" i="1"/>
  <c r="B57" i="1" s="1"/>
  <c r="A14" i="1"/>
  <c r="B1145" i="1" l="1"/>
  <c r="B1146" i="1"/>
  <c r="B1147" i="1"/>
  <c r="B1149" i="1"/>
  <c r="B1150" i="1"/>
  <c r="B1162" i="1"/>
  <c r="B1163" i="1"/>
  <c r="B1164" i="1"/>
  <c r="B1130" i="1"/>
  <c r="B1148" i="1"/>
  <c r="B1144" i="1"/>
  <c r="B1143" i="1"/>
  <c r="B1078" i="1"/>
  <c r="B1080" i="1"/>
  <c r="B1081" i="1"/>
  <c r="B1083" i="1"/>
  <c r="B1088" i="1"/>
  <c r="B1077" i="1"/>
  <c r="B1082" i="1"/>
  <c r="B1072" i="1"/>
  <c r="B1070" i="1"/>
  <c r="B1062" i="1"/>
  <c r="B1068" i="1"/>
  <c r="B1066" i="1"/>
  <c r="B1064" i="1"/>
  <c r="B1067" i="1"/>
  <c r="B1065" i="1"/>
  <c r="B1059" i="1"/>
  <c r="B1057" i="1"/>
  <c r="B1053" i="1"/>
  <c r="B1049" i="1"/>
  <c r="B1019" i="1"/>
  <c r="B1020" i="1"/>
  <c r="B1028" i="1"/>
  <c r="B1031" i="1"/>
  <c r="B1032" i="1"/>
  <c r="B1034" i="1"/>
  <c r="B1035" i="1"/>
  <c r="B1041" i="1"/>
  <c r="B1042" i="1"/>
  <c r="B370" i="1"/>
  <c r="B374" i="1"/>
  <c r="B375" i="1"/>
  <c r="B376" i="1"/>
  <c r="B379" i="1"/>
  <c r="B380" i="1"/>
  <c r="B381" i="1"/>
  <c r="B394" i="1"/>
  <c r="B382" i="1"/>
  <c r="B384" i="1"/>
  <c r="B387" i="1"/>
  <c r="B390" i="1"/>
  <c r="B401" i="1"/>
  <c r="B407" i="1"/>
  <c r="B409" i="1"/>
  <c r="B412" i="1"/>
  <c r="B416" i="1"/>
  <c r="B420" i="1"/>
  <c r="B422" i="1"/>
  <c r="B426" i="1"/>
  <c r="B430" i="1"/>
  <c r="B432" i="1"/>
  <c r="B433" i="1"/>
  <c r="B465" i="1"/>
  <c r="B462" i="1"/>
  <c r="B466" i="1"/>
  <c r="B471" i="1"/>
  <c r="B478" i="1"/>
  <c r="B484" i="1"/>
  <c r="B497" i="1"/>
  <c r="B486" i="1"/>
  <c r="B489" i="1"/>
  <c r="B491" i="1"/>
  <c r="B492" i="1"/>
  <c r="B499" i="1"/>
  <c r="B501" i="1"/>
  <c r="B502" i="1"/>
  <c r="B505" i="1"/>
  <c r="B507" i="1"/>
  <c r="B508" i="1"/>
  <c r="B512" i="1"/>
  <c r="B513" i="1"/>
  <c r="B514" i="1"/>
  <c r="B517" i="1"/>
  <c r="B519" i="1"/>
  <c r="B520" i="1"/>
  <c r="B526" i="1"/>
  <c r="B528" i="1"/>
  <c r="B536" i="1"/>
  <c r="B538" i="1"/>
  <c r="B539" i="1"/>
  <c r="B533" i="1"/>
  <c r="B534" i="1"/>
  <c r="B542" i="1"/>
  <c r="B545" i="1"/>
  <c r="B547" i="1"/>
  <c r="B548" i="1"/>
  <c r="B553" i="1"/>
  <c r="B554" i="1"/>
  <c r="B555" i="1"/>
  <c r="B557" i="1"/>
  <c r="B558" i="1"/>
  <c r="B561" i="1"/>
  <c r="B565" i="1"/>
  <c r="B567" i="1"/>
  <c r="B593" i="1"/>
  <c r="B594" i="1"/>
  <c r="B595" i="1"/>
  <c r="B596" i="1"/>
  <c r="B600" i="1"/>
  <c r="B601" i="1"/>
  <c r="B603" i="1"/>
  <c r="B606" i="1"/>
  <c r="B607" i="1"/>
  <c r="B608" i="1"/>
  <c r="B609" i="1"/>
  <c r="B614" i="1"/>
  <c r="B615" i="1"/>
  <c r="B616" i="1"/>
  <c r="B619" i="1"/>
  <c r="B622" i="1"/>
  <c r="B623" i="1"/>
  <c r="B624" i="1"/>
  <c r="B629" i="1"/>
  <c r="B631" i="1"/>
  <c r="B632" i="1"/>
  <c r="B636" i="1"/>
  <c r="B637" i="1"/>
  <c r="B638" i="1"/>
  <c r="B639" i="1"/>
  <c r="B643" i="1"/>
  <c r="B644" i="1"/>
  <c r="B645" i="1"/>
  <c r="B647" i="1"/>
  <c r="B648" i="1"/>
  <c r="B655" i="1"/>
  <c r="B657" i="1"/>
  <c r="B662" i="1"/>
  <c r="B664" i="1"/>
  <c r="B667" i="1"/>
  <c r="B682" i="1"/>
  <c r="B691" i="1"/>
  <c r="B692" i="1"/>
  <c r="B693" i="1"/>
  <c r="B696" i="1"/>
  <c r="B697" i="1"/>
  <c r="B698" i="1"/>
  <c r="B699" i="1"/>
  <c r="B703" i="1"/>
  <c r="B704" i="1"/>
  <c r="B705" i="1"/>
  <c r="B719" i="1"/>
  <c r="B720" i="1"/>
  <c r="B721" i="1"/>
  <c r="B722" i="1"/>
  <c r="B736" i="1"/>
  <c r="B737" i="1"/>
  <c r="B744" i="1"/>
  <c r="B763" i="1"/>
  <c r="B764" i="1"/>
  <c r="B772" i="1"/>
  <c r="B812" i="1"/>
  <c r="B815" i="1"/>
  <c r="B820" i="1"/>
  <c r="B823" i="1"/>
  <c r="B827" i="1"/>
  <c r="B828" i="1"/>
  <c r="B832" i="1"/>
  <c r="B833" i="1"/>
  <c r="B864" i="1"/>
  <c r="B866" i="1"/>
  <c r="B867" i="1"/>
  <c r="B872" i="1"/>
  <c r="B878" i="1"/>
  <c r="B879" i="1"/>
  <c r="B883" i="1"/>
  <c r="B884" i="1"/>
  <c r="B885" i="1"/>
  <c r="B886" i="1"/>
  <c r="B876" i="1"/>
  <c r="B888" i="1"/>
  <c r="B892" i="1"/>
  <c r="B893" i="1"/>
  <c r="B894" i="1"/>
  <c r="B899" i="1"/>
  <c r="B897" i="1"/>
  <c r="B898" i="1"/>
  <c r="B907" i="1"/>
  <c r="B918" i="1"/>
  <c r="B919" i="1"/>
  <c r="B920" i="1"/>
  <c r="B921" i="1"/>
  <c r="B929" i="1"/>
  <c r="B930" i="1"/>
  <c r="B931" i="1"/>
  <c r="B926" i="1"/>
  <c r="B934" i="1"/>
  <c r="B935" i="1"/>
  <c r="B944" i="1"/>
  <c r="B945" i="1"/>
  <c r="B946" i="1"/>
  <c r="B948" i="1"/>
  <c r="B939" i="1"/>
  <c r="B940" i="1"/>
  <c r="B941" i="1"/>
  <c r="B951" i="1"/>
  <c r="B956" i="1"/>
  <c r="B957" i="1"/>
  <c r="B958" i="1"/>
  <c r="B953" i="1"/>
  <c r="B954" i="1"/>
  <c r="B963" i="1"/>
  <c r="B964" i="1"/>
  <c r="B967" i="1"/>
  <c r="B969" i="1"/>
  <c r="B970" i="1"/>
  <c r="B971" i="1"/>
  <c r="B973" i="1"/>
  <c r="B975" i="1"/>
  <c r="B976" i="1"/>
  <c r="B977" i="1"/>
  <c r="B978" i="1"/>
  <c r="B981" i="1"/>
  <c r="B983" i="1"/>
  <c r="B984" i="1"/>
  <c r="B985" i="1"/>
  <c r="B986" i="1"/>
  <c r="B987" i="1"/>
  <c r="B988" i="1"/>
  <c r="B989" i="1"/>
  <c r="B990" i="1"/>
  <c r="B991" i="1"/>
  <c r="B994" i="1"/>
  <c r="B996" i="1"/>
  <c r="B997" i="1"/>
  <c r="B998" i="1"/>
  <c r="B1001" i="1"/>
  <c r="B999" i="1"/>
  <c r="B1009" i="1"/>
  <c r="B1015" i="1"/>
  <c r="B1016" i="1"/>
  <c r="B1012" i="1"/>
  <c r="B1013" i="1"/>
  <c r="B1014" i="1"/>
  <c r="B368" i="1"/>
  <c r="B1051" i="1"/>
  <c r="B1050" i="1"/>
  <c r="B1017" i="1"/>
  <c r="B1000" i="1"/>
  <c r="B995" i="1"/>
  <c r="B992" i="1"/>
  <c r="B982" i="1"/>
  <c r="B980" i="1"/>
  <c r="B972" i="1"/>
  <c r="B968" i="1"/>
  <c r="B965" i="1"/>
  <c r="B955" i="1"/>
  <c r="B950" i="1"/>
  <c r="B947" i="1"/>
  <c r="B938" i="1"/>
  <c r="B943" i="1"/>
  <c r="B942" i="1"/>
  <c r="B937" i="1"/>
  <c r="B933" i="1"/>
  <c r="B932" i="1"/>
  <c r="B924" i="1"/>
  <c r="B923" i="1"/>
  <c r="B922" i="1"/>
  <c r="B917" i="1"/>
  <c r="B910" i="1"/>
  <c r="B896" i="1"/>
  <c r="B902" i="1"/>
  <c r="B900" i="1"/>
  <c r="B890" i="1"/>
  <c r="B889" i="1"/>
  <c r="B877" i="1"/>
  <c r="B873" i="1"/>
  <c r="B875" i="1"/>
  <c r="B874" i="1"/>
  <c r="B882" i="1"/>
  <c r="B880" i="1"/>
  <c r="B871" i="1"/>
  <c r="B870" i="1"/>
  <c r="B869" i="1"/>
  <c r="B835" i="1"/>
  <c r="B834" i="1"/>
  <c r="B826" i="1"/>
  <c r="B825" i="1"/>
  <c r="B824" i="1"/>
  <c r="B822" i="1"/>
  <c r="B821" i="1"/>
  <c r="B774" i="1"/>
  <c r="B773" i="1"/>
  <c r="B743" i="1"/>
  <c r="B742" i="1"/>
  <c r="B726" i="1"/>
  <c r="B724" i="1"/>
  <c r="B723" i="1"/>
  <c r="B718" i="1"/>
  <c r="B707" i="1"/>
  <c r="B702" i="1"/>
  <c r="B701" i="1"/>
  <c r="B700" i="1"/>
  <c r="B695" i="1"/>
  <c r="B694" i="1"/>
  <c r="B690" i="1"/>
  <c r="B689" i="1"/>
  <c r="B681" i="1"/>
  <c r="B666" i="1"/>
  <c r="B665" i="1"/>
  <c r="B663" i="1"/>
  <c r="B661" i="1"/>
  <c r="B660" i="1"/>
  <c r="B659" i="1"/>
  <c r="B646" i="1"/>
  <c r="B642" i="1"/>
  <c r="B641" i="1"/>
  <c r="B640" i="1"/>
  <c r="B634" i="1"/>
  <c r="B633" i="1"/>
  <c r="B627" i="1"/>
  <c r="B626" i="1"/>
  <c r="B625" i="1"/>
  <c r="B618" i="1"/>
  <c r="B617" i="1"/>
  <c r="B612" i="1"/>
  <c r="B611" i="1"/>
  <c r="B610" i="1"/>
  <c r="B605" i="1"/>
  <c r="B604" i="1"/>
  <c r="B599" i="1"/>
  <c r="B598" i="1"/>
  <c r="B597" i="1"/>
  <c r="B583" i="1"/>
  <c r="B582" i="1"/>
  <c r="B566" i="1"/>
  <c r="B564" i="1"/>
  <c r="B563" i="1"/>
  <c r="B562" i="1"/>
  <c r="B559" i="1"/>
  <c r="B556" i="1"/>
  <c r="B550" i="1"/>
  <c r="B551" i="1"/>
  <c r="B549" i="1"/>
  <c r="B546" i="1"/>
  <c r="B543" i="1"/>
  <c r="B532" i="1"/>
  <c r="B541" i="1"/>
  <c r="B540" i="1"/>
  <c r="B537" i="1"/>
  <c r="B535" i="1"/>
  <c r="B529" i="1"/>
  <c r="B527" i="1"/>
  <c r="B525" i="1"/>
  <c r="B530" i="1"/>
  <c r="B521" i="1"/>
  <c r="B518" i="1"/>
  <c r="B516" i="1"/>
  <c r="B515" i="1"/>
  <c r="B511" i="1"/>
  <c r="B510" i="1"/>
  <c r="B509" i="1"/>
  <c r="B506" i="1"/>
  <c r="B504" i="1"/>
  <c r="B503" i="1"/>
  <c r="B498" i="1"/>
  <c r="B494" i="1"/>
  <c r="B493" i="1"/>
  <c r="B490" i="1"/>
  <c r="B488" i="1"/>
  <c r="B487" i="1"/>
  <c r="B485" i="1"/>
  <c r="B496" i="1"/>
  <c r="B495" i="1"/>
  <c r="B474" i="1"/>
  <c r="B468" i="1"/>
  <c r="B467" i="1"/>
  <c r="B464" i="1"/>
  <c r="B463" i="1"/>
  <c r="B434" i="1"/>
  <c r="B431" i="1"/>
  <c r="B429" i="1"/>
  <c r="B427" i="1"/>
  <c r="B421" i="1"/>
  <c r="B419" i="1"/>
  <c r="B418" i="1"/>
  <c r="B413" i="1"/>
  <c r="B411" i="1"/>
  <c r="B410" i="1"/>
  <c r="B408" i="1"/>
  <c r="B406" i="1"/>
  <c r="B405" i="1"/>
  <c r="B404" i="1"/>
  <c r="B389" i="1"/>
  <c r="B386" i="1"/>
  <c r="B393" i="1"/>
  <c r="B392" i="1"/>
  <c r="B391" i="1"/>
  <c r="B378" i="1"/>
  <c r="B377" i="1"/>
  <c r="B373" i="1"/>
  <c r="B372" i="1"/>
  <c r="B371" i="1"/>
  <c r="B369" i="1"/>
  <c r="B362" i="1"/>
  <c r="B361" i="1"/>
  <c r="B360" i="1"/>
  <c r="B359" i="1"/>
  <c r="B358" i="1"/>
  <c r="B355" i="1"/>
  <c r="B354" i="1"/>
  <c r="B351" i="1"/>
  <c r="B350" i="1"/>
  <c r="B349" i="1"/>
  <c r="B353" i="1"/>
  <c r="B352" i="1"/>
  <c r="B348" i="1"/>
  <c r="B347" i="1"/>
  <c r="B346" i="1"/>
  <c r="B345" i="1"/>
  <c r="B342" i="1"/>
  <c r="B341" i="1"/>
  <c r="B339" i="1"/>
  <c r="B335" i="1"/>
  <c r="B334" i="1"/>
  <c r="B331" i="1"/>
  <c r="B330" i="1"/>
  <c r="B328" i="1"/>
  <c r="B329" i="1"/>
  <c r="B325" i="1"/>
  <c r="B324" i="1"/>
  <c r="B320" i="1"/>
  <c r="B323" i="1"/>
  <c r="B322" i="1"/>
  <c r="B321" i="1"/>
  <c r="B313" i="1"/>
  <c r="B312" i="1"/>
  <c r="B311" i="1"/>
  <c r="B315" i="1"/>
  <c r="B314" i="1"/>
  <c r="B310" i="1"/>
  <c r="B308" i="1"/>
  <c r="B306" i="1"/>
  <c r="B304" i="1"/>
  <c r="B299" i="1"/>
  <c r="B298" i="1"/>
  <c r="B300" i="1"/>
  <c r="B296" i="1"/>
  <c r="B295" i="1"/>
  <c r="B294" i="1"/>
  <c r="B293" i="1"/>
  <c r="B287" i="1"/>
  <c r="B280" i="1"/>
  <c r="B279" i="1"/>
  <c r="B283" i="1"/>
  <c r="B282" i="1"/>
  <c r="B281" i="1"/>
  <c r="B276" i="1"/>
  <c r="B275" i="1"/>
  <c r="B274" i="1"/>
  <c r="B273" i="1"/>
  <c r="B272" i="1"/>
  <c r="B271" i="1"/>
  <c r="B270" i="1"/>
  <c r="B269" i="1"/>
  <c r="B268" i="1"/>
  <c r="B267" i="1"/>
  <c r="B266" i="1"/>
  <c r="B261" i="1"/>
  <c r="B264" i="1"/>
  <c r="B263" i="1"/>
  <c r="B262" i="1"/>
  <c r="B260" i="1"/>
  <c r="B259" i="1"/>
  <c r="B254" i="1"/>
  <c r="B247" i="1"/>
  <c r="B243" i="1"/>
  <c r="B241" i="1"/>
  <c r="B240" i="1"/>
  <c r="B238" i="1"/>
  <c r="B221" i="1"/>
  <c r="B220" i="1"/>
  <c r="B199" i="1"/>
  <c r="B198" i="1"/>
  <c r="B194" i="1"/>
  <c r="B192" i="1"/>
  <c r="B190" i="1"/>
  <c r="B189" i="1"/>
  <c r="B187" i="1"/>
  <c r="B186" i="1"/>
  <c r="B182" i="1"/>
  <c r="B181" i="1"/>
  <c r="B179" i="1"/>
  <c r="B177" i="1"/>
  <c r="B176" i="1"/>
  <c r="B175" i="1"/>
  <c r="B174" i="1"/>
  <c r="B173" i="1"/>
  <c r="B172" i="1"/>
  <c r="B169" i="1"/>
  <c r="B168" i="1"/>
  <c r="B167" i="1"/>
  <c r="B165" i="1"/>
  <c r="B164" i="1"/>
  <c r="B163" i="1"/>
  <c r="B161" i="1"/>
  <c r="B160" i="1"/>
  <c r="B159" i="1"/>
  <c r="B152" i="1"/>
  <c r="B151" i="1"/>
  <c r="B150" i="1"/>
  <c r="B149" i="1"/>
  <c r="B147" i="1"/>
  <c r="B146" i="1"/>
  <c r="B145" i="1"/>
  <c r="B143" i="1"/>
  <c r="B141" i="1"/>
  <c r="B140" i="1"/>
  <c r="B139" i="1"/>
  <c r="B138" i="1"/>
  <c r="B137" i="1"/>
  <c r="B136" i="1"/>
  <c r="B135" i="1"/>
  <c r="B133" i="1"/>
  <c r="B132" i="1"/>
  <c r="B131" i="1"/>
  <c r="B129" i="1"/>
  <c r="B128" i="1"/>
  <c r="B125" i="1"/>
  <c r="B113" i="1"/>
  <c r="B112" i="1"/>
  <c r="B110" i="1"/>
  <c r="B109" i="1"/>
  <c r="B108" i="1"/>
  <c r="B111" i="1"/>
  <c r="B107" i="1"/>
  <c r="B106" i="1"/>
  <c r="B105" i="1"/>
  <c r="B104" i="1"/>
  <c r="B102" i="1"/>
  <c r="B101" i="1"/>
  <c r="B100" i="1"/>
  <c r="B98" i="1"/>
  <c r="B97" i="1"/>
  <c r="B96" i="1"/>
  <c r="B95" i="1"/>
  <c r="B94" i="1"/>
  <c r="B93" i="1"/>
  <c r="B92" i="1"/>
  <c r="B91" i="1"/>
  <c r="B90" i="1"/>
  <c r="B89" i="1"/>
  <c r="B88" i="1"/>
  <c r="B87" i="1"/>
  <c r="B79" i="1"/>
  <c r="B77" i="1"/>
  <c r="B76" i="1"/>
  <c r="B74" i="1"/>
  <c r="B73" i="1"/>
  <c r="B62" i="1"/>
  <c r="B14" i="1"/>
  <c r="D1902" i="1"/>
  <c r="M8" i="1"/>
  <c r="AC8" i="1"/>
  <c r="T8" i="1"/>
  <c r="Q8" i="1"/>
  <c r="AA8" i="1"/>
  <c r="AD8" i="1"/>
  <c r="N8" i="1"/>
  <c r="S8" i="1"/>
  <c r="Z8" i="1"/>
  <c r="U8" i="1"/>
  <c r="V8" i="1"/>
  <c r="Y8" i="1"/>
  <c r="X8" i="1"/>
  <c r="AB8" i="1"/>
  <c r="R8" i="1"/>
  <c r="O8" i="1"/>
  <c r="W8" i="1"/>
  <c r="P8" i="1"/>
  <c r="D1891" i="1"/>
  <c r="D1890" i="1" l="1"/>
  <c r="D8" i="1" s="1"/>
</calcChain>
</file>

<file path=xl/sharedStrings.xml><?xml version="1.0" encoding="utf-8"?>
<sst xmlns="http://schemas.openxmlformats.org/spreadsheetml/2006/main" count="2807" uniqueCount="2620">
  <si>
    <t>Раздел 2. Перечень услуг и (или) работ по капитальному ремонту общего имущества в многоквартирных домах и их стоимость</t>
  </si>
  <si>
    <t>№  п/п</t>
  </si>
  <si>
    <t>Адрес многоквартирного дома 
(далее также - МКД)</t>
  </si>
  <si>
    <t>Стоимость капитального ремонта, 
всего</t>
  </si>
  <si>
    <t>Виды услуг и (или) работ по капитальному ремонту общего имущества в многоквартирном доме, установленные статьей 6 областного закона 
от 31 октября 2013 года № 114-з «О регулировании отдельных вопросов в сфере обеспечения своевременного проведения капитального ремонта общего имущества в многоквартирных домах, расположенных на территории Смоленской области»</t>
  </si>
  <si>
    <t>ремонт внутридомовых инженерных систем</t>
  </si>
  <si>
    <t>ремонт, замена, модернизация лифтов, ремонт лифтовых шахт, машинных и блочных помещений</t>
  </si>
  <si>
    <t>ремонт крыши</t>
  </si>
  <si>
    <t>ремонт подвальных помещений, относящихся к общему имуществу в МКД</t>
  </si>
  <si>
    <t>ремонт фасада</t>
  </si>
  <si>
    <t>ремонт фундамента
МКД</t>
  </si>
  <si>
    <t>разработка проектной документации (в случае если подготовка проектной документации необходима в соответствии с законода-
тельством о градострои-
тельной деятельности)</t>
  </si>
  <si>
    <t>проверка достоверности определения стоимости работ по капитальному ремонту общего имущества в многоквартир-
ном доме в соответствии со сметной документацией</t>
  </si>
  <si>
    <t>проведение обследования технического состояния многоквартир-
ного дома</t>
  </si>
  <si>
    <t>выполнение работ по оценке технического состояния общего имущества в многоквартир-
ном доме</t>
  </si>
  <si>
    <t>переустройство невентилируемой крыши на вентилируемую крышу, устройство выходов на кровлю</t>
  </si>
  <si>
    <t>проведение государственной историко-культурной экспертизы проектной документации на выполнение работ по сохранению объектов культурного наследия (памятников истории и культуры) народов Российской Федерации, являющихся многоквартир-ными домами</t>
  </si>
  <si>
    <t>услуги по строитель-ному контролю</t>
  </si>
  <si>
    <t>оценка соответствия лифтов требованиям технического регламента Таможенного союза 011/2011 «Безопасность лифтов» (ТР ТС 011/2011), утвержденного решением Комиссии Таможенного союза 
от 18 октября 2011 года № 824 
«О принятии технического регламента Таможенного союза «Безопасность лифтов»</t>
  </si>
  <si>
    <t>всего</t>
  </si>
  <si>
    <t>электроснабжения</t>
  </si>
  <si>
    <t>теплоснабжения</t>
  </si>
  <si>
    <t xml:space="preserve"> холодного водоснабжения</t>
  </si>
  <si>
    <t xml:space="preserve"> горячего водоснабжения</t>
  </si>
  <si>
    <t>водоотведения</t>
  </si>
  <si>
    <t>газоснабжения</t>
  </si>
  <si>
    <t>руб.</t>
  </si>
  <si>
    <t>ед.</t>
  </si>
  <si>
    <t>кв. м</t>
  </si>
  <si>
    <t>Виды услуг и (или) работ по капитальному ремонту общего имущества в многоквартирном доме, 
установленные частью 1 статьи 166 Жилищного кодекса Российской Федерации</t>
  </si>
  <si>
    <t>2026 год</t>
  </si>
  <si>
    <t>Итого по 2026 году</t>
  </si>
  <si>
    <t>Г. Вязьма, пл. Ефремова, д. 3</t>
  </si>
  <si>
    <t>Г. Вязьма, ул. 25 Октября, д. 1</t>
  </si>
  <si>
    <t>Г. Вязьма, ул. 25 Октября, д. 16</t>
  </si>
  <si>
    <t>Г. Вязьма, ул. 25 Октября, д. 20</t>
  </si>
  <si>
    <t>Г. Вязьма, ул. 25 Октября, д. 22</t>
  </si>
  <si>
    <t>Г. Вязьма, ул. 25 Октября, д. 27</t>
  </si>
  <si>
    <t>Г. Вязьма, ул. 25 Октября, д. 29</t>
  </si>
  <si>
    <t>Г. Вязьма, ул. 25 Октября, д. 33</t>
  </si>
  <si>
    <t>Г. Вязьма, ул. 25 Октября, д. 6</t>
  </si>
  <si>
    <t>Г. Вязьма, ул. 25 Октября, д. 8</t>
  </si>
  <si>
    <t>Г. Вязьма, ул. Кирова, д. 8</t>
  </si>
  <si>
    <t>Г. Вязьма, ул. Ленина, д. 8</t>
  </si>
  <si>
    <t>Г. Вязьма, ул. Машинистов, д. 7</t>
  </si>
  <si>
    <t>Г. Вязьма, ул. Машинистов, д. 9</t>
  </si>
  <si>
    <t>Г. Вязьма, ул. Парижской Коммуны, д. 15</t>
  </si>
  <si>
    <t>Г. Вязьма, ул. Парижской Коммуны, д. 5</t>
  </si>
  <si>
    <t>Г. Вязьма, ул. Парижской Коммуны, д. 7</t>
  </si>
  <si>
    <t>Г. Вязьма, ул. Парижской Коммуны, д. 9</t>
  </si>
  <si>
    <t>Г. Вязьма, ул. Покровского, д. 3</t>
  </si>
  <si>
    <t>Г. Вязьма, ул. Полины Осипенко, д. 2б</t>
  </si>
  <si>
    <t>Г. Вязьма, ул. Репина, д. 11</t>
  </si>
  <si>
    <t>Г. Вязьма, ул. Смоленская, д. 19</t>
  </si>
  <si>
    <t>Г. Вязьма, ул. Сычевское шоссе, д. 50</t>
  </si>
  <si>
    <t>Г. Вязьма, ул. Сычевское шоссе, д. 52</t>
  </si>
  <si>
    <t>Г. Вязьма, ул. Урицкого, д. 2а</t>
  </si>
  <si>
    <t>С. Вязьма-Брянская, ул. Парковая, д. 2</t>
  </si>
  <si>
    <t>С. Вязьма-Брянская, ул. Парковая, д. 4</t>
  </si>
  <si>
    <t>С. Хмелита, ул. Парковая, д. 6</t>
  </si>
  <si>
    <t>Г. Гагарин, ул. 50 лет ВЛКСМ, д. 14</t>
  </si>
  <si>
    <t>С. Серго-Ивановское, ул. Заводская, д. 11</t>
  </si>
  <si>
    <t>Г. Демидов, ул. Витебская, д. 8</t>
  </si>
  <si>
    <t>Г. Демидов, ул. Коммунистическая, д. 21</t>
  </si>
  <si>
    <t>Г. Демидов, ул. Руднянская, д. 66</t>
  </si>
  <si>
    <t>Г. Демидов, ул. Хренова, д. 20</t>
  </si>
  <si>
    <t>Г. Дорогобуж, ул. Калинина, д. 1</t>
  </si>
  <si>
    <t>Г. Дорогобуж, ул. Калинина, д. 4</t>
  </si>
  <si>
    <t>Г. Дорогобуж, ул. Калинина, д. 5</t>
  </si>
  <si>
    <t>Г. Дорогобуж, ул. Карла Маркса, д. 17</t>
  </si>
  <si>
    <t>Г. Дорогобуж, ул. Карла Маркса, д. 2</t>
  </si>
  <si>
    <t>Г. Дорогобуж, ул. Коммунистическая, д. 15</t>
  </si>
  <si>
    <t>Г. Дорогобуж, ул. Коммунистическая, д. 24</t>
  </si>
  <si>
    <t>Г. Дорогобуж, ул. Коммунистическая, д. 26</t>
  </si>
  <si>
    <t>Г. Дорогобуж, ул. Коммунистическая, д. 28</t>
  </si>
  <si>
    <t>Г. Дорогобуж, ул. Комсомольская, д. 2</t>
  </si>
  <si>
    <t>Г. Дорогобуж, ул. Павлова, д. 15</t>
  </si>
  <si>
    <t>Г. Дорогобуж, ул. Павлова, д. 27</t>
  </si>
  <si>
    <t>Дер. Садовая, ул. Парковая, д. 15</t>
  </si>
  <si>
    <t>Дер. Струково, ул. Молодёжная, д. 1</t>
  </si>
  <si>
    <t>Дер. Струково, ул. Молодёжная, д. 2</t>
  </si>
  <si>
    <t>Пгт Верхнеднепровский, ул. Ленина, д. 16</t>
  </si>
  <si>
    <t>Пгт Верхнеднепровский, ул. Ленина, д. 18</t>
  </si>
  <si>
    <t>Пгт Верхнеднепровский, ул. Советская, д. 7</t>
  </si>
  <si>
    <t>С. Алексино, ул. Центральная, д. 20</t>
  </si>
  <si>
    <t xml:space="preserve">С. Пречистое, пер. 2-й Октябрьский, д. 1 </t>
  </si>
  <si>
    <t xml:space="preserve">С. Пречистое, пер. 3-й Октябрьский, д. 1 </t>
  </si>
  <si>
    <t>Г. Ельня, ул. Вокзальная, д. 10</t>
  </si>
  <si>
    <t>Г. Ельня, ул. Говорова, д. 11</t>
  </si>
  <si>
    <t>Г. Ельня, ул. Гусева, д. 2</t>
  </si>
  <si>
    <t>Г. Ельня, ул. Красноармейская, д. 16а</t>
  </si>
  <si>
    <t>Г. Ельня, ул. Красноармейская, д. 17</t>
  </si>
  <si>
    <t>Г. Ельня, ул. Ленина, д. 37</t>
  </si>
  <si>
    <t>Г. Ельня, ул. Октябрьская, д. 2</t>
  </si>
  <si>
    <t>Г. Ельня, ул. Октябрьская, д. 3</t>
  </si>
  <si>
    <t>Г. Ельня, ул. Смоленский большак, д. 24</t>
  </si>
  <si>
    <t>Г. Ельня, ул. Смоленский большак, д. 28</t>
  </si>
  <si>
    <t>Г. Ельня, ул. Смоленский большак, д. 30</t>
  </si>
  <si>
    <t>Г. Ельня, ул. Советская, д. 25</t>
  </si>
  <si>
    <t>Г. Ельня, ул. Энгельса, д. 32</t>
  </si>
  <si>
    <t>Г. Ельня, ул. Энгельса, д. 34</t>
  </si>
  <si>
    <t>Г. Ельня, ул. Энгельса, д. 9/33</t>
  </si>
  <si>
    <t>С. Ершичи, ул. Озернова, д. 6</t>
  </si>
  <si>
    <t>С. Ершичи, ул. Озернова, д. 8</t>
  </si>
  <si>
    <t>С. Ершичи, ул. Советская, д. 10</t>
  </si>
  <si>
    <t>С. Ершичи, ул. Советская, д. 16</t>
  </si>
  <si>
    <t>Пгт Красный, пер. Набережный, д. 1</t>
  </si>
  <si>
    <t>Пгт Красный, ул. Глинки, д. 5</t>
  </si>
  <si>
    <t>Пгт Красный, ул. Карла Маркса, д. 28</t>
  </si>
  <si>
    <t>Пгт Красный, ул. Лесная, д. 1</t>
  </si>
  <si>
    <t>Пгт Красный, ул. Советская, д. 94</t>
  </si>
  <si>
    <t>Пгт Красный, ул. Советская, д. 94а</t>
  </si>
  <si>
    <t>Дер. Доброселье, д. 24</t>
  </si>
  <si>
    <t>Дер. Крапивна, ул. Горького, д. 8</t>
  </si>
  <si>
    <t>Дер. Соболево, д. 24</t>
  </si>
  <si>
    <t>Пос. Турковского Торфопредприятия, д. 1</t>
  </si>
  <si>
    <t>С. Высокое, ул. Высоковская, д. 7</t>
  </si>
  <si>
    <t>Г. Починок, мкрн. Ёлки, д. 201</t>
  </si>
  <si>
    <t>Г. Починок, мкрн. Ёлки, д. 202</t>
  </si>
  <si>
    <t>Г. Починок, мкрн. Ёлки, д. 204</t>
  </si>
  <si>
    <t>Г. Починок, пер. 2-й Советский, д. 5</t>
  </si>
  <si>
    <t>Г. Починок, ул. Советская, д. 36</t>
  </si>
  <si>
    <t>Г. Починок, ул. Социалистическая, д. 43</t>
  </si>
  <si>
    <t>Дер. Кирпичный Завод, ул. Лесная, д. 3</t>
  </si>
  <si>
    <t>Дер. Климщина, д. 66</t>
  </si>
  <si>
    <t>Пос. Шаталово-1, д. 253</t>
  </si>
  <si>
    <t>Пос. Шаталово-1, д. 389</t>
  </si>
  <si>
    <t>Г. Рославль, ул. Ленина, д. 10</t>
  </si>
  <si>
    <t>Г. Рославль, ул. Ленина, д. 12</t>
  </si>
  <si>
    <t>Г. Рославль, ул. Ленина, д. 5</t>
  </si>
  <si>
    <t>Г. Рославль, ул. Ленина, д. 6</t>
  </si>
  <si>
    <t>Г. Рославль, ул. Пушкина, д. 10</t>
  </si>
  <si>
    <t>Г. Рославль, ул. Пушкина, д. 43</t>
  </si>
  <si>
    <t>Г. Рославль, ул. Свердлова, д. 13а</t>
  </si>
  <si>
    <t>Г. Рославль, ул. Свердлова, д. 17а</t>
  </si>
  <si>
    <t>Г. Рославль, ул. Советская, д. 67б</t>
  </si>
  <si>
    <t>Г. Рославль, ул. Советская, д. 78</t>
  </si>
  <si>
    <t>Г. Рославль, ул. Советская, д. 80</t>
  </si>
  <si>
    <t>Г. Рославль, ул. Товарная, д. 12</t>
  </si>
  <si>
    <t>Г. Рославль, ул. Товарная, д. 30</t>
  </si>
  <si>
    <t>Г. Рославль, ул. Товарная, д. 9</t>
  </si>
  <si>
    <t>Дер. Козловка, ул. Мира, д. 45</t>
  </si>
  <si>
    <t>С. Остер, ул. Комарова, д. 3</t>
  </si>
  <si>
    <t>С. Остер, ул. Комарова, д. 6</t>
  </si>
  <si>
    <t>С. Остер, ул. Советская, д. 10</t>
  </si>
  <si>
    <t>С. Остер, ул. Советская, д. 13</t>
  </si>
  <si>
    <t>С. Остер, ул. Советская, д. 16</t>
  </si>
  <si>
    <t>С. Остер, ул. Советская, д. 8</t>
  </si>
  <si>
    <t>Г. Рудня, пос. Молкомбината, д. 7</t>
  </si>
  <si>
    <t>Г. Рудня, пос. Молкомбината, д. 13</t>
  </si>
  <si>
    <t>Г. Рудня, пос. Молкомбината, д. 14</t>
  </si>
  <si>
    <t>Г. Рудня, пос. Молкомбината, д. 16</t>
  </si>
  <si>
    <t>Г. Рудня, пос. Молкомбината, д. 18</t>
  </si>
  <si>
    <t>Г. Рудня, ул. 19 Гвардейской стрелковой дивизии, д. 4</t>
  </si>
  <si>
    <t>Г. Рудня, ул. 19 Гвардейской стрелковой дивизии, д. 5</t>
  </si>
  <si>
    <t>Г. Рудня, ул. Заречная, д. 20а</t>
  </si>
  <si>
    <t>Г. Рудня, ул. Заречная, д. 22</t>
  </si>
  <si>
    <t>Г. Рудня, ул. им. М.А. Егорова, д. 5</t>
  </si>
  <si>
    <t>Г. Рудня, ул. Киреева, д. 19</t>
  </si>
  <si>
    <t>Г. Рудня, ул. Киреева, д. 24а</t>
  </si>
  <si>
    <t>Г. Рудня, ул. Киреева, д. 51</t>
  </si>
  <si>
    <t>Г. Рудня, ул. Пирогова, д. 10</t>
  </si>
  <si>
    <t>Г. Рудня, ул. Пирогова, д. 10а</t>
  </si>
  <si>
    <t>Г. Рудня, ул. Пирогова, д. 14</t>
  </si>
  <si>
    <t>Г. Рудня, ул. Пирогова, д. 16</t>
  </si>
  <si>
    <t>Г. Рудня, ул. Пирогова, д. 4</t>
  </si>
  <si>
    <t>Г. Рудня, ул. Пирогова, д. 6</t>
  </si>
  <si>
    <t>Г. Рудня, ул. Советская, д. 10</t>
  </si>
  <si>
    <t>Г. Рудня, ул. Советская, д. 13</t>
  </si>
  <si>
    <t>Г. Рудня, ул. Станционная, д. 5а</t>
  </si>
  <si>
    <t>Г. Сафоново, микрорайон-2, д. 10</t>
  </si>
  <si>
    <t>Г. Сафоново, микрорайон-2, д. 13</t>
  </si>
  <si>
    <t>Г. Сафоново, микрорайон-2, д. 20</t>
  </si>
  <si>
    <t>Г. Сафоново, микрорайон-2, д. 21</t>
  </si>
  <si>
    <t>Г. Сафоново, ул. 40 лет Октября, д. 10</t>
  </si>
  <si>
    <t>Г. Сафоново, ул. 40 лет Октября, д. 2</t>
  </si>
  <si>
    <t>Г. Сафоново, ул. 40 лет Октября, д. 4</t>
  </si>
  <si>
    <t>Г. Сафоново, ул. Кирова, д. 14</t>
  </si>
  <si>
    <t>Г. Сафоново, ул. Кирова, д. 3</t>
  </si>
  <si>
    <t>Г. Сафоново, ул. Кирова, д. 6</t>
  </si>
  <si>
    <t>Г. Сафоново, ул. Кирова, д. 8</t>
  </si>
  <si>
    <t>Г. Сафоново, ул. Ковалева, д. 1б</t>
  </si>
  <si>
    <t>Г. Сафоново, ул. Коммунистическая, д. 11</t>
  </si>
  <si>
    <t>Г. Сафоново, ул. Коммунистическая, д. 13</t>
  </si>
  <si>
    <t>Г. Сафоново, ул. Коммунистическая, д. 2</t>
  </si>
  <si>
    <t>Г. Сафоново, ул. Коммунистическая, д. 3</t>
  </si>
  <si>
    <t>Г. Сафоново, ул. Коммунистическая, д. 5</t>
  </si>
  <si>
    <t>Г. Сафоново, ул. Красногвардейская, д. 28</t>
  </si>
  <si>
    <t>Г. Сафоново, ул. Красногвардейская, д. 30</t>
  </si>
  <si>
    <t>Г. Сафоново, ул. Ленина, д. 11</t>
  </si>
  <si>
    <t>Г. Сафоново, ул. Ленина, д. 13</t>
  </si>
  <si>
    <t>Г. Сафоново, ул. Ленина, д. 15</t>
  </si>
  <si>
    <t>Г. Сафоново, ул. Ленина, д. 8</t>
  </si>
  <si>
    <t>Г. Сафоново, ул. Ленинградская, д. 15</t>
  </si>
  <si>
    <t>Г. Сафоново, ул. Московская, д. 1</t>
  </si>
  <si>
    <t>Г. Сафоново, ул. Революционная, д. 7</t>
  </si>
  <si>
    <t>Г. Сафоново, ул. Революционная, д. 8</t>
  </si>
  <si>
    <t>Г. Сафоново, ул. Революционная, д. 9</t>
  </si>
  <si>
    <t>Г. Сафоново, ул. Свободы, д. 19</t>
  </si>
  <si>
    <t>Г. Сафоново, ул. Свободы, д. 3</t>
  </si>
  <si>
    <t>Г. Сафоново, ул. Свободы, д. 4</t>
  </si>
  <si>
    <t>Г. Сафоново, ул. Свободы, д. 5</t>
  </si>
  <si>
    <t>Г. Сафоново, ул. Свободы, д. 9</t>
  </si>
  <si>
    <t>Г. Сафоново, ул. Советская, д. 1</t>
  </si>
  <si>
    <t>Г. Сафоново, ул. Советская, д. 31</t>
  </si>
  <si>
    <t>Г. Сафоново, ул. Советская, д. 9</t>
  </si>
  <si>
    <t>Г. Сафоново, ул. Строителей, д. 2</t>
  </si>
  <si>
    <t>Г. Сафоново, ул. Строителей, д. 28а</t>
  </si>
  <si>
    <t>Г. Сафоново, ул. Шахтерская, д. 1</t>
  </si>
  <si>
    <t>Г. Сафоново, ул. Шахтерская, д. 3</t>
  </si>
  <si>
    <t>Дер. Бараново, ул. Садовая, д. 3</t>
  </si>
  <si>
    <t>Дер. Бараново, ул. Садовая, д. 4</t>
  </si>
  <si>
    <t>Дер. Бараново, ул. Советская, д. 20</t>
  </si>
  <si>
    <t>Дер. Бараново, ул. Советская, д. 21</t>
  </si>
  <si>
    <t>Дер. Богдановщина, ул. Центральная, д. 7</t>
  </si>
  <si>
    <t>Дер. Дроздово, ул. Луговая, д. 1</t>
  </si>
  <si>
    <t>Дер. Дроздово, ул. Луговая, д. 2</t>
  </si>
  <si>
    <t>Дер. Дроздово, ул. Механизаторов, д. 35</t>
  </si>
  <si>
    <t>Дер. Дроздово, ул. Центральная, д. 4</t>
  </si>
  <si>
    <t>Дер. Казулино, ул. Центральная, д. 10</t>
  </si>
  <si>
    <t>Дер. Казулино, ул. Центральная, д. 12</t>
  </si>
  <si>
    <t>Дер. Казулино, ул. Центральная, д. 4</t>
  </si>
  <si>
    <t>Дер. Казулино, ул. Центральная, д. 6</t>
  </si>
  <si>
    <t>Дер. Казулино, ул. Центральная, д. 7</t>
  </si>
  <si>
    <t>Дер. Казулино, ул. Центральная, д. 8</t>
  </si>
  <si>
    <t>Дер. Клинка, ул. Школьная, д. 1</t>
  </si>
  <si>
    <t>Дер. Пушкино, ул. Пролетарская, д. 29</t>
  </si>
  <si>
    <t>Дер. Пушкино, ул. Пролетарская, д. 33</t>
  </si>
  <si>
    <t>Пос. Вадино, ул. Мелиораторов, д. 12</t>
  </si>
  <si>
    <t>Пос. Вадино, ул. Труда, д. 6</t>
  </si>
  <si>
    <t>С. Издешково, ул. 1-я Ленинская, д. 46</t>
  </si>
  <si>
    <t>С. Издешково, ул. 2-я Ленинская, д. 11</t>
  </si>
  <si>
    <t>Г. Смоленск, Витебское шоссе, д. 1/37</t>
  </si>
  <si>
    <t>Г. Смоленск, Витебское шоссе, д. 26</t>
  </si>
  <si>
    <t>Г. Смоленск, Витебское шоссе, д. 28</t>
  </si>
  <si>
    <t>Г. Смоленск, Витебское шоссе, д. 28а</t>
  </si>
  <si>
    <t>Г. Смоленск, Витебское шоссе, д. 30</t>
  </si>
  <si>
    <t>Г. Смоленск, Витебское шоссе, д. 36</t>
  </si>
  <si>
    <t>Г. Смоленск, Витебское шоссе, д. 44</t>
  </si>
  <si>
    <t>Г. Смоленск, Витебское шоссе, д. 48</t>
  </si>
  <si>
    <t>Г. Смоленск, Витебское шоссе, д. 50</t>
  </si>
  <si>
    <t>Г. Смоленск, Витебское шоссе, д. 52</t>
  </si>
  <si>
    <t>Г. Смоленск, Витебское шоссе, д. 54</t>
  </si>
  <si>
    <t>Г. Смоленск, Витебское шоссе, д. 56</t>
  </si>
  <si>
    <t>Г. Смоленск, Витебское шоссе, д. 6</t>
  </si>
  <si>
    <t>Г. Смоленск, Витебское шоссе, д. 70</t>
  </si>
  <si>
    <t>Г. Смоленск, Витебское шоссе, д. 72</t>
  </si>
  <si>
    <t>Г. Смоленск, городок Коминтерна, д. 10</t>
  </si>
  <si>
    <t>Г. Смоленск, городок Коминтерна, д. 11</t>
  </si>
  <si>
    <t>Г. Смоленск, городок Коминтерна, д. 13</t>
  </si>
  <si>
    <t>Г. Смоленск, городок Коминтерна, д. 14</t>
  </si>
  <si>
    <t>Г. Смоленск, городок Коминтерна, д. 2</t>
  </si>
  <si>
    <t>Г. Смоленск, городок Коминтерна, д. 4</t>
  </si>
  <si>
    <t>Г. Смоленск, городок Коминтерна, д. 5</t>
  </si>
  <si>
    <t>Г. Смоленск, городок Коминтерна, д. 6а</t>
  </si>
  <si>
    <t>Г. Смоленск, городок Коминтерна, д. 7</t>
  </si>
  <si>
    <t>Г. Смоленск, городок Коминтерна, д. 8а</t>
  </si>
  <si>
    <t>Г. Смоленск, городок Коминтерна, д. 9</t>
  </si>
  <si>
    <t>Г. Смоленск, набережная Горького, д. 1</t>
  </si>
  <si>
    <t>Г. Смоленск, пер. 2-й Рославльский, д. 5</t>
  </si>
  <si>
    <t>Г. Смоленск, пер. 3-й Горького, д. 3</t>
  </si>
  <si>
    <t>Г. Смоленск, пер. 3-й Горького, д. 5</t>
  </si>
  <si>
    <t>Г. Смоленск, пер. 4-й Слобода-Садки, д. 13</t>
  </si>
  <si>
    <t>Г. Смоленск, пер. 4-й Слобода-Садки, д. 33</t>
  </si>
  <si>
    <t>Г. Смоленск, пер. 4-й Слобода-Садки, д. 39</t>
  </si>
  <si>
    <t>Г. Смоленск, пер. Бакунина, д. 2</t>
  </si>
  <si>
    <t>Г. Смоленск, пер. Больничный, д. 2</t>
  </si>
  <si>
    <t>Г. Смоленск, пер. Витебский, д. 3а</t>
  </si>
  <si>
    <t>Г. Смоленск, пер. Запольный, д. 4</t>
  </si>
  <si>
    <t>Г. Смоленск, пер. Станционный, д. 2</t>
  </si>
  <si>
    <t>Г. Смоленск, пер. Хлебозаводской, д. 10</t>
  </si>
  <si>
    <t>Г. Смоленск, пер. Хлебозаводской, д. 4</t>
  </si>
  <si>
    <t>Г. Смоленск, пер. Хлебозаводской, д. 6</t>
  </si>
  <si>
    <t>Г. Смоленск, пер. Чуриловский, д. 1</t>
  </si>
  <si>
    <t>Г. Смоленск, пер. Чуриловский, д. 1а</t>
  </si>
  <si>
    <t>Г. Смоленск, пос. 430 км, д. 17</t>
  </si>
  <si>
    <t>Г. Смоленск, пос. 430 км, д. 18</t>
  </si>
  <si>
    <t>Г. Смоленск, пос. 430 км, д. 19</t>
  </si>
  <si>
    <t>Г. Смоленск, пос. Нижняя Дубровенка, д. 5</t>
  </si>
  <si>
    <t>Г. Смоленск, пос. Серебрянка, д. 50б</t>
  </si>
  <si>
    <t>Г. Смоленск, пос. Серебрянка, д. 50в</t>
  </si>
  <si>
    <t>Г. Смоленск, пос. Серебрянка, д. 52</t>
  </si>
  <si>
    <t>Г. Смоленск, пр. Дзержинского, д. 6</t>
  </si>
  <si>
    <t>Г. Смоленск, ул. 2-я Киевская, д. 11</t>
  </si>
  <si>
    <t>Г. Смоленск, ул. 2-я Киевская, д. 13</t>
  </si>
  <si>
    <t>Г. Смоленск, ул. 2-я Киевская, д. 15</t>
  </si>
  <si>
    <t>Г. Смоленск, ул. 2-я Киевская, д. 5</t>
  </si>
  <si>
    <t>Г. Смоленск, ул. 2-я линия Красноармейской слободы,  д. 5</t>
  </si>
  <si>
    <t>Г. Смоленск, ул. 2-я Северная, д. 21/2</t>
  </si>
  <si>
    <t>Г. Смоленск, ул. 2-я Северная, д. 23</t>
  </si>
  <si>
    <t>Г. Смоленск, ул. 4-я Загорная, д. 8</t>
  </si>
  <si>
    <t>Г. Смоленск, ул. 8 Марта, д. 17</t>
  </si>
  <si>
    <t>Г. Смоленск, ул. Автозаводская, д. 32а</t>
  </si>
  <si>
    <t>Г. Смоленск, ул. Бакунина, д. 11</t>
  </si>
  <si>
    <t>Г. Смоленск, ул. Белинского, д. 10</t>
  </si>
  <si>
    <t>Г. Смоленск, ул. Белинского, д. 10а</t>
  </si>
  <si>
    <t>Г. Смоленск, ул. Белинского, д. 12</t>
  </si>
  <si>
    <t>Г. Смоленск, ул. Белинского, д. 2</t>
  </si>
  <si>
    <t>Г. Смоленск, ул. Белинского, д. 2а</t>
  </si>
  <si>
    <t>Г. Смоленск, ул. Белинского, д. 4</t>
  </si>
  <si>
    <t>Г. Смоленск, ул. Белинского, д. 4а</t>
  </si>
  <si>
    <t>Г. Смоленск, ул. Белинского, д. 6</t>
  </si>
  <si>
    <t>Г. Смоленск, ул. Белинского, д. 6а</t>
  </si>
  <si>
    <t>Г. Смоленск, ул. Белинского, д. 8</t>
  </si>
  <si>
    <t>Г. Смоленск, ул. Белинского, д. 8а</t>
  </si>
  <si>
    <t>Г. Смоленск, ул. Белинского, д. 9</t>
  </si>
  <si>
    <t>Г. Смоленск, ул. Белинского, д. 9а</t>
  </si>
  <si>
    <t>Г. Смоленск, ул. Большая Советская, д. 29а</t>
  </si>
  <si>
    <t>Г. Смоленск, ул. Брестская, д. 2</t>
  </si>
  <si>
    <t>Г. Смоленск, ул. Брестская, д. 3</t>
  </si>
  <si>
    <t>Г. Смоленск, ул. Брестская, д. 5</t>
  </si>
  <si>
    <t>Г. Смоленск, ул. Войкова, д. 8а</t>
  </si>
  <si>
    <t>Г. Смоленск, ул. Воробьева, д. 8/8</t>
  </si>
  <si>
    <t>Г. Смоленск, ул. Воробьева, д. 16/12</t>
  </si>
  <si>
    <t>Г. Смоленск, ул. Воробьева, д. 18</t>
  </si>
  <si>
    <t>Г. Смоленск, ул. Воробьева, д. 20</t>
  </si>
  <si>
    <t>Г. Смоленск, ул. Воробьева, д. 22</t>
  </si>
  <si>
    <t>Г. Смоленск, ул. Воробьева, д. 24</t>
  </si>
  <si>
    <t>Г. Смоленск, ул. Воробьева, д. 26</t>
  </si>
  <si>
    <t>Г. Смоленск, ул. Воробьева, д. 26а</t>
  </si>
  <si>
    <t>Г. Смоленск, ул. Воробьева, д. 26б</t>
  </si>
  <si>
    <t>Г. Смоленск, ул. Воробьева, д. 28</t>
  </si>
  <si>
    <t>Г. Смоленск, ул. Воробьева, д. 30</t>
  </si>
  <si>
    <t>Г. Смоленск, ул. Воробьева, д. 30а</t>
  </si>
  <si>
    <t>Г. Смоленск, ул. Воробьева, д. 32</t>
  </si>
  <si>
    <t>Г. Смоленск, ул. Воробьева, д. 32а</t>
  </si>
  <si>
    <t>Г. Смоленск, ул. Воробьева, д. 34</t>
  </si>
  <si>
    <t>Г. Смоленск, ул. Гастелло, д. 11</t>
  </si>
  <si>
    <t>Г. Смоленск, ул. Гастелло, д. 2</t>
  </si>
  <si>
    <t>Г. Смоленск, ул. Гастелло, д. 4</t>
  </si>
  <si>
    <t>Г. Смоленск, ул. Гастелло, д. 5/2</t>
  </si>
  <si>
    <t>Г. Смоленск, ул. Гастелло, д. 7/1</t>
  </si>
  <si>
    <t>Г. Смоленск, ул. Гастелло, д. 9/10</t>
  </si>
  <si>
    <t>Г. Смоленск, ул. Генерала Лукина, д. 10</t>
  </si>
  <si>
    <t>Г. Смоленск, ул. Генерала Лукина, д. 10а</t>
  </si>
  <si>
    <t>Г. Смоленск, ул. Генерала Лукина, д. 12</t>
  </si>
  <si>
    <t>Г. Смоленск, ул. Генерала Лукина, д. 12а</t>
  </si>
  <si>
    <t>Г. Смоленск, ул. Генерала Лукина, д. 38</t>
  </si>
  <si>
    <t>Г. Смоленск, ул. Генерала Лукина, д. 40</t>
  </si>
  <si>
    <t>Г. Смоленск, ул. Генерала Лукина, д. 42</t>
  </si>
  <si>
    <t>Г. Смоленск, ул. Генерала Лукина, д. 6</t>
  </si>
  <si>
    <t>Г. Смоленск, ул. Генерала Лукина, д. 8</t>
  </si>
  <si>
    <t>Г. Смоленск, ул. Генерала Лукина, д. 8а</t>
  </si>
  <si>
    <t>Г. Смоленск, ул. Герцена, д. 3</t>
  </si>
  <si>
    <t>Г. Смоленск, ул. Герцена, д. 5</t>
  </si>
  <si>
    <t>Г. Смоленск, ул. Губенко, д. 18</t>
  </si>
  <si>
    <t>Г. Смоленск, ул. Губенко, д. 20</t>
  </si>
  <si>
    <t>Г. Смоленск, ул. Губенко, д. 22</t>
  </si>
  <si>
    <t>Г. Смоленск, ул. Дзержинского, д. 22</t>
  </si>
  <si>
    <t>Г. Смоленск, ул. Дзержинского, д. 26</t>
  </si>
  <si>
    <t>Г. Смоленск, ул. Докучаева, д. 10</t>
  </si>
  <si>
    <t>Г. Смоленск, ул. Докучаева, д. 8</t>
  </si>
  <si>
    <t>Г. Смоленск, ул. Исаковского, д. 12/1</t>
  </si>
  <si>
    <t>Г. Смоленск, ул. Исаковского, д. 14</t>
  </si>
  <si>
    <t>Г. Смоленск, ул. Исаковского, д. 16</t>
  </si>
  <si>
    <t>Г. Смоленск, ул. Исаковского, д. 18</t>
  </si>
  <si>
    <t>Г. Смоленск, ул. Исаковского, д. 20а</t>
  </si>
  <si>
    <t>Г. Смоленск, ул. Исаковского, д. 22</t>
  </si>
  <si>
    <t>Г. Смоленск, ул. Карбышева, д. 4</t>
  </si>
  <si>
    <t>Г. Смоленск, ул. Карбышева, д. 6</t>
  </si>
  <si>
    <t>Г. Смоленск, ул. Карла Маркса, д. 12а</t>
  </si>
  <si>
    <t>Г. Смоленск, ул. Кирова, д. 1</t>
  </si>
  <si>
    <t>Г. Смоленск, ул. Кирова, д. 3</t>
  </si>
  <si>
    <t>Г. Смоленск, ул. Кирова, д. 4</t>
  </si>
  <si>
    <t>Г. Смоленск, ул. Кирова, д. 5</t>
  </si>
  <si>
    <t>Г. Смоленск, ул. Кирова, д. 6</t>
  </si>
  <si>
    <t>Г. Смоленск, ул. Кирова, д. 8</t>
  </si>
  <si>
    <t>Г. Смоленск, ул. Кирова, д. 30</t>
  </si>
  <si>
    <t>Г. Смоленск, ул. Кирова, д. 32</t>
  </si>
  <si>
    <t>Г. Смоленск, ул. Коммунистическая, д. 3</t>
  </si>
  <si>
    <t>Г. Смоленск, ул. Коммунистическая, д. 10</t>
  </si>
  <si>
    <t>Г. Смоленск, ул. Коммунистическая, д. 15/2</t>
  </si>
  <si>
    <t>Г. Смоленск, ул. Коммунистическая, д. 17</t>
  </si>
  <si>
    <t>Г. Смоленск, ул. Коненкова, д. 10</t>
  </si>
  <si>
    <t>Г. Смоленск, ул. Котовского, д. 1</t>
  </si>
  <si>
    <t>Г. Смоленск, ул. Котовского, д. 3</t>
  </si>
  <si>
    <t>Г. Смоленск, ул. Котовского, д. 3а</t>
  </si>
  <si>
    <t>Г. Смоленск, ул. Котовского, д. 5</t>
  </si>
  <si>
    <t>Г. Смоленск, ул. Котовского, д. 9</t>
  </si>
  <si>
    <t>Г. Смоленск, ул. Котовского, д. 9а</t>
  </si>
  <si>
    <t>Г. Смоленск, ул. Котовского, д. 11</t>
  </si>
  <si>
    <t>Г. Смоленск, ул. Котовского, д. 11а</t>
  </si>
  <si>
    <t>Г. Смоленск, ул. Котовского, д. 13</t>
  </si>
  <si>
    <t>Г. Смоленск, ул. Крупской, д. 28а</t>
  </si>
  <si>
    <t>Г. Смоленск, ул. Крупской, д. 28б</t>
  </si>
  <si>
    <t>Г. Смоленск, ул. Крупской, д. 28в</t>
  </si>
  <si>
    <t>Г. Смоленск, ул. Крупской, д. 39б</t>
  </si>
  <si>
    <t>Г. Смоленск, ул. Крупской, д. 44</t>
  </si>
  <si>
    <t>Г. Смоленск, ул. Крупской, д. 46</t>
  </si>
  <si>
    <t>Г. Смоленск, ул. Крупской, д. 48</t>
  </si>
  <si>
    <t>Г. Смоленск, ул. Крупской, д. 50</t>
  </si>
  <si>
    <t>Г. Смоленск, ул. Крупской, д. 52/2</t>
  </si>
  <si>
    <t>Г. Смоленск, ул. Крупской, д. 53</t>
  </si>
  <si>
    <t>Г. Смоленск, ул. Крупской, д. 55</t>
  </si>
  <si>
    <t>Г. Смоленск, ул. Крупской, д. 56</t>
  </si>
  <si>
    <t>Г. Смоленск, ул. Крупской, д. 57</t>
  </si>
  <si>
    <t>Г. Смоленск, ул. Крупской, д. 58</t>
  </si>
  <si>
    <t>Г. Смоленск, ул. Крупской, д. 59</t>
  </si>
  <si>
    <t>Г. Смоленск, ул. Крупской, д. 61</t>
  </si>
  <si>
    <t>Г. Смоленск, ул. Крупской, д. 63/2</t>
  </si>
  <si>
    <t>Г. Смоленск, ул. Кутузова, д. 10а</t>
  </si>
  <si>
    <t>Г. Смоленск, ул. Лавочкина, д. 50</t>
  </si>
  <si>
    <t>Г. Смоленск, ул. Лавочкина, д. 52</t>
  </si>
  <si>
    <t>Г. Смоленск, ул. Лавочкина, д. 53</t>
  </si>
  <si>
    <t>Г. Смоленск, ул. Лавочкина, д. 54</t>
  </si>
  <si>
    <t>Г. Смоленск, ул. Лавочкина, д. 55</t>
  </si>
  <si>
    <t>Г. Смоленск, ул. Лавочкина, д. 56</t>
  </si>
  <si>
    <t>Г. Смоленск, ул. Лавочкина, д. 57</t>
  </si>
  <si>
    <t>Г. Смоленск, ул. Лавочкина, д. 58</t>
  </si>
  <si>
    <t>Г. Смоленск, ул. Лавочкина, д. 60</t>
  </si>
  <si>
    <t>Г. Смоленск, ул. Лавочкина, д. 64</t>
  </si>
  <si>
    <t>Г. Смоленск, ул. Лавочкина, д. 66</t>
  </si>
  <si>
    <t>Г. Смоленск, ул. Лавочкина, д. 66а</t>
  </si>
  <si>
    <t>Г. Смоленск, ул. Лавочкина, д. 68</t>
  </si>
  <si>
    <t>Г. Смоленск, ул. Лавочкина, д. 70</t>
  </si>
  <si>
    <t>Г. Смоленск, ул. Ленина, д. 26</t>
  </si>
  <si>
    <t>Г. Смоленск, ул. Ленина, д. 31/19</t>
  </si>
  <si>
    <t>Г. Смоленск, ул. Ленина, д. 32</t>
  </si>
  <si>
    <t>Г. Смоленск, ул. Ленина, д. 36</t>
  </si>
  <si>
    <t>Г. Смоленск, ул. Марии Октябрьской, д. 4</t>
  </si>
  <si>
    <t>Г. Смоленск, ул. Марии Октябрьской, д. 4а</t>
  </si>
  <si>
    <t>Г. Смоленск, ул. Марии Октябрьской, д. 4б</t>
  </si>
  <si>
    <t>Г. Смоленск, ул. Марии Октябрьской, д. 4в</t>
  </si>
  <si>
    <t>Г. Смоленск, ул. Марии Октябрьской, д. 6</t>
  </si>
  <si>
    <t>Г. Смоленск, ул. Марии Октябрьской, д. 6а</t>
  </si>
  <si>
    <t>Г. Смоленск, ул. Марии Октябрьской, д. 6б</t>
  </si>
  <si>
    <t>Г. Смоленск, ул. Марии Октябрьской, д. 6в</t>
  </si>
  <si>
    <t>Г. Смоленск, ул. Маршала Жукова, д. 18</t>
  </si>
  <si>
    <t>Г. Смоленск, ул. Маршала Жукова, д. 26</t>
  </si>
  <si>
    <t>Г. Смоленск, ул. Маршала Жукова, д. 26а</t>
  </si>
  <si>
    <t>Г. Смоленск, ул. Маяковского, д. 5</t>
  </si>
  <si>
    <t>Г. Смоленск, ул. Маяковского, д. 5б</t>
  </si>
  <si>
    <t>Г. Смоленск, ул. Минская, д. 5</t>
  </si>
  <si>
    <t>Г. Смоленск, ул. Минская, д. 7</t>
  </si>
  <si>
    <t>Г. Смоленск, ул. Минская, д. 15</t>
  </si>
  <si>
    <t>Г. Смоленск, ул. Мира, д. 3</t>
  </si>
  <si>
    <t>Г. Смоленск, ул. Мира, д. 4</t>
  </si>
  <si>
    <t>Г. Смоленск, ул. Мира, д. 6</t>
  </si>
  <si>
    <t>Г. Смоленск, ул. Мира, д. 9</t>
  </si>
  <si>
    <t>Г. Смоленск, ул. Мира, д. 11</t>
  </si>
  <si>
    <t>Г. Смоленск, ул. Мира, д. 16</t>
  </si>
  <si>
    <t>Г. Смоленск, ул. Мира, д. 18</t>
  </si>
  <si>
    <t>Г. Смоленск, ул. Молодёжная, д. 16</t>
  </si>
  <si>
    <t>Г. Смоленск, ул. Нарвская, д. 3</t>
  </si>
  <si>
    <t>Г. Смоленск, ул. Нахимсона, д. 4</t>
  </si>
  <si>
    <t>Г. Смоленск, ул. Нахимсона, д. 5</t>
  </si>
  <si>
    <t>Г. Смоленск, ул. Нахимсона, д. 6</t>
  </si>
  <si>
    <t>Г. Смоленск, ул. Нахимсона, д. 9</t>
  </si>
  <si>
    <t>Г. Смоленск, ул. Нахимсона, д. 16</t>
  </si>
  <si>
    <t>Г. Смоленск, ул. Николаева, д. 7</t>
  </si>
  <si>
    <t>Г. Смоленск, ул. Николаева, д. 9</t>
  </si>
  <si>
    <t>Г. Смоленск, ул. Николаева, д. 17</t>
  </si>
  <si>
    <t>Г. Смоленск, ул. Николаева, д. 47б</t>
  </si>
  <si>
    <t>Г. Смоленск, ул. Николаева, д. 47г</t>
  </si>
  <si>
    <t>Г. Смоленск, ул. Ново-Мопровская, д. 60</t>
  </si>
  <si>
    <t>Г. Смоленск, ул. Ново-Рославльская, д. 7</t>
  </si>
  <si>
    <t>Г. Смоленск, ул. Октября, д. 48</t>
  </si>
  <si>
    <t>Г. Смоленск, ул. Папанина, д. 1а</t>
  </si>
  <si>
    <t>Г. Смоленск, ул. Парковая, д. 22</t>
  </si>
  <si>
    <t>Г. Смоленск, ул. Парковая, д. 24</t>
  </si>
  <si>
    <t>Г. Смоленск, ул. Пржевальского, д. 4б</t>
  </si>
  <si>
    <t>Г. Смоленск, ул. Пржевальского, д. 8</t>
  </si>
  <si>
    <t>Г. Смоленск, ул. Пролетарская, д. 13а</t>
  </si>
  <si>
    <t>Г. Смоленск, ул. Пролетарская, д. 35</t>
  </si>
  <si>
    <t>Г. Смоленск, ул. Пролетарская, д. 37</t>
  </si>
  <si>
    <t>Г. Смоленск, ул. Радищева, д. 1</t>
  </si>
  <si>
    <t>Г. Смоленск, ул. Радищева, д. 11</t>
  </si>
  <si>
    <t>Г. Смоленск, ул. Радищева, д. 12а</t>
  </si>
  <si>
    <t>Г. Смоленск, ул. Радищева, д. 3</t>
  </si>
  <si>
    <t>Г. Смоленск, ул. Радищева, д. 5</t>
  </si>
  <si>
    <t>Г. Смоленск, ул. Радищева, д. 9</t>
  </si>
  <si>
    <t>Г. Смоленск, ул. Реввоенсовета, д. 11а</t>
  </si>
  <si>
    <t>Г. Смоленск, ул. Реввоенсовета, д. 16</t>
  </si>
  <si>
    <t>Г. Смоленск, ул. Реввоенсовета, д. 17</t>
  </si>
  <si>
    <t>Г. Смоленск, ул. Реввоенсовета, д. 18</t>
  </si>
  <si>
    <t>Г. Смоленск, ул. Реввоенсовета, д. 22</t>
  </si>
  <si>
    <t>Г. Смоленск, ул. Свердлова, д. 1</t>
  </si>
  <si>
    <t>Г. Смоленск, ул. Седова, д. 26а</t>
  </si>
  <si>
    <t>Г. Смоленск, ул. Седова, д. 31</t>
  </si>
  <si>
    <t>Г. Смоленск, ул. Седова, д. 54</t>
  </si>
  <si>
    <t>Г. Смоленск, ул. Седова, д. 54а</t>
  </si>
  <si>
    <t>Г. Смоленск, ул. Седова, д. 60</t>
  </si>
  <si>
    <t>Г. Смоленск, ул. Смоленская, д. 16</t>
  </si>
  <si>
    <t>Г. Смоленск, ул. Соболева, д. 105</t>
  </si>
  <si>
    <t>Г. Смоленск, ул. Соболева, д. 107</t>
  </si>
  <si>
    <t>Г. Смоленск, ул. Соболева, д. 108</t>
  </si>
  <si>
    <t>Г. Смоленск, ул. Соболева, д. 110</t>
  </si>
  <si>
    <t>Г. Смоленск, ул. Соболева, д. 111</t>
  </si>
  <si>
    <t>Г. Смоленск, ул. Соболева, д. 111а</t>
  </si>
  <si>
    <t>Г. Смоленск, ул. Соболева, д. 111б</t>
  </si>
  <si>
    <t>Г. Смоленск, ул. Соболева, д. 111в</t>
  </si>
  <si>
    <t>Г. Смоленск, ул. Соболева, д. 22</t>
  </si>
  <si>
    <t>Г. Смоленск, ул. Соболева, д. 23</t>
  </si>
  <si>
    <t>Г. Смоленск, ул. Соболева, д. 8</t>
  </si>
  <si>
    <t>Г. Смоленск, ул. Соболева, д. 86</t>
  </si>
  <si>
    <t>Г. Смоленск, ул. Соболева, д. 94</t>
  </si>
  <si>
    <t>Г. Смоленск, ул. Социалистическая, д. 9</t>
  </si>
  <si>
    <t>Г. Смоленск, ул. Станционная, д. 4</t>
  </si>
  <si>
    <t>Г. Смоленск, ул. Станционная, д. 8а</t>
  </si>
  <si>
    <t>Г. Смоленск, ул. Строителей, д. 10/11</t>
  </si>
  <si>
    <t>Г. Смоленск, ул. Строителей, д. 12/14</t>
  </si>
  <si>
    <t>Г. Смоленск, ул. Студенческая, д. 3</t>
  </si>
  <si>
    <t>Г. Смоленск, ул. Твардовского, д. 10</t>
  </si>
  <si>
    <t>Г. Смоленск, ул. Твардовского, д. 10а</t>
  </si>
  <si>
    <t>Г. Смоленск, ул. Твардовского, д. 16</t>
  </si>
  <si>
    <t>Г. Смоленск, ул. Твардовского, д. 3</t>
  </si>
  <si>
    <t>Г. Смоленск, ул. Твардовского, д. 5/11</t>
  </si>
  <si>
    <t>Г. Смоленск, ул. Твардовского, д. 9</t>
  </si>
  <si>
    <t>Г. Смоленск, ул. Тенишевой, д. 6</t>
  </si>
  <si>
    <t>Г. Смоленск, ул. Тимирязева, д. 2</t>
  </si>
  <si>
    <t>Г. Смоленск, ул. Урицкого, д. 15</t>
  </si>
  <si>
    <t>Г. Смоленск, ул. Урицкого, д. 17</t>
  </si>
  <si>
    <t>Г. Смоленск, ул. Урицкого, д. 3</t>
  </si>
  <si>
    <t>Г. Смоленск, ул. Урицкого, д. 4</t>
  </si>
  <si>
    <t>Г. Смоленск, ул. Урицкого, д. 6</t>
  </si>
  <si>
    <t>Г. Смоленск, ул. Урицкого, д. 8</t>
  </si>
  <si>
    <t>Г. Смоленск, ул. Фаянсовая, д. 13</t>
  </si>
  <si>
    <t>Г. Смоленск, ул. Фаянсовая, д. 15</t>
  </si>
  <si>
    <t>Г. Смоленск, ул. Фрунзе, д. 34а</t>
  </si>
  <si>
    <t>Г. Смоленск, ул. Фрунзе, д. 36а</t>
  </si>
  <si>
    <t>Г. Смоленск, ул. Фрунзе, д. 38</t>
  </si>
  <si>
    <t>Г. Смоленск, ул. Фрунзе, д. 49</t>
  </si>
  <si>
    <t>Г. Смоленск, ул. Фрунзе, д. 51</t>
  </si>
  <si>
    <t>Г. Смоленск, ул. Фрунзе, д. 6</t>
  </si>
  <si>
    <t>Г. Смоленск, ул. Фрунзе, д. 66</t>
  </si>
  <si>
    <t>Г. Смоленск, ул. Фурманова, д. 16</t>
  </si>
  <si>
    <t>Г. Смоленск, ул. Фурманова, д. 43</t>
  </si>
  <si>
    <t xml:space="preserve">Г. Смоленск, ул. Центральная, д. 13 </t>
  </si>
  <si>
    <t>Г. Смоленск, ул. Центральная, д. 13а</t>
  </si>
  <si>
    <t>Г. Смоленск, ул. Центральная, д. 14</t>
  </si>
  <si>
    <t>Г. Смоленск, ул. Центральная, д. 16</t>
  </si>
  <si>
    <t>Г. Смоленск, ул. Центральная, д. 18/2</t>
  </si>
  <si>
    <t>Г. Смоленск, ул. Центральная, д. 2</t>
  </si>
  <si>
    <t>Г. Смоленск, ул. Центральная, д. 20/1</t>
  </si>
  <si>
    <t>Г. Смоленск, ул. Центральная, д. 22</t>
  </si>
  <si>
    <t>Г. Смоленск, ул. Центральная, д. 3</t>
  </si>
  <si>
    <t>Г. Смоленск, ул. Центральная, д. 5</t>
  </si>
  <si>
    <t>Г. Смоленск, ул. Центральная, д. 7</t>
  </si>
  <si>
    <t>Г. Смоленск, ул. Чапаева, д. 4</t>
  </si>
  <si>
    <t>Г. Смоленск, ул. Чаплина, д. 10/18</t>
  </si>
  <si>
    <t xml:space="preserve">Г. Смоленск, ул. Чернышевского, д. 12 </t>
  </si>
  <si>
    <t>Г. Смоленск, ул. Чернышевского, д. 12а</t>
  </si>
  <si>
    <t>Г. Смоленск, ул. Чернышевского, д. 14</t>
  </si>
  <si>
    <t>Г. Смоленск, ул. Чернышевского, д. 16</t>
  </si>
  <si>
    <t>Г. Смоленск, ул. Чернышевского, д. 6</t>
  </si>
  <si>
    <t>Г. Смоленск, ул. Чернышевского, д. 6а</t>
  </si>
  <si>
    <t>Г. Смоленск, ул. Чернышевского, д. 8</t>
  </si>
  <si>
    <t>Г. Смоленск, ул. Чернышевского, д. 8а</t>
  </si>
  <si>
    <t>Г. Смоленск, ул. Черняховского, д. 2</t>
  </si>
  <si>
    <t>Г. Смоленск, ул. Черняховского, д. 4</t>
  </si>
  <si>
    <t>Г. Смоленск, ул. Черняховского, д. 6</t>
  </si>
  <si>
    <t>Г. Смоленск, ул. Черняховского, д. 8а</t>
  </si>
  <si>
    <t>Г. Смоленск, ул. Черняховского, д. 8б</t>
  </si>
  <si>
    <t>Г. Смоленск, ул. Черняховского, д. 10</t>
  </si>
  <si>
    <t>Г. Смоленск, ул. Черняховского, д. 11а</t>
  </si>
  <si>
    <t>Г. Смоленск, ул. Черняховского, д. 11б</t>
  </si>
  <si>
    <t>Г. Смоленск, ул. Черняховского, д. 13а</t>
  </si>
  <si>
    <t>Г. Смоленск, ул. Черняховского, д. 13б</t>
  </si>
  <si>
    <t>Г. Смоленск, ул. Черняховского, д. 16</t>
  </si>
  <si>
    <t>Г. Смоленск, ул. Черняховского, д. 16а</t>
  </si>
  <si>
    <t>Г. Смоленск, ул. Черняховского, д. 18</t>
  </si>
  <si>
    <t>Г. Смоленск, ул. Черняховского, д. 18а</t>
  </si>
  <si>
    <t>Г. Смоленск, ул. Черняховского, д. 18в</t>
  </si>
  <si>
    <t>Г. Смоленск, ул. Черняховского, д. 20</t>
  </si>
  <si>
    <t>Г. Смоленск, ул. Черняховского, д. 20а</t>
  </si>
  <si>
    <t>Г. Смоленск, ул. Черняховского, д. 22</t>
  </si>
  <si>
    <t>Г. Смоленск, ул. Черняховского, д. 22а</t>
  </si>
  <si>
    <t>Г. Смоленск, ул. Черняховского, д. 22б</t>
  </si>
  <si>
    <t>Г. Смоленск, ул. Черняховского, д. 22в</t>
  </si>
  <si>
    <t>Г. Смоленск, ул. Черняховского, д. 24</t>
  </si>
  <si>
    <t>Г. Смоленск, ул. Черняховского, д. 24а</t>
  </si>
  <si>
    <t>Г. Смоленск, ул. Черняховского, д. 24б</t>
  </si>
  <si>
    <t>Г. Смоленск, ул. Черняховского, д. 24в</t>
  </si>
  <si>
    <t>Г. Смоленск, ул. Черняховского, д. 26</t>
  </si>
  <si>
    <t>Г. Смоленск, ул. Черняховского, д. 26а</t>
  </si>
  <si>
    <t>Г. Смоленск, ул. Черняховского, д. 26б</t>
  </si>
  <si>
    <t>Г. Смоленск, ул. Чехова, д. 1</t>
  </si>
  <si>
    <t>Г. Смоленск, ул. Чехова, д. 2</t>
  </si>
  <si>
    <t>Г. Смоленск, ул. Чехова, д. 2а</t>
  </si>
  <si>
    <t>Г. Смоленск, ул. Чехова, д. 5</t>
  </si>
  <si>
    <t>Г. Смоленск, ул. Чкалова, д. 11а</t>
  </si>
  <si>
    <t>Г. Смоленск, ул. Чкалова, д. 17</t>
  </si>
  <si>
    <t>Г. Смоленск, ул. Чкалова, д. 3</t>
  </si>
  <si>
    <t>Г. Смоленск, ул. Шевченко, д. 78</t>
  </si>
  <si>
    <t>Г. Смоленск, ул. Энгельса, д. 10</t>
  </si>
  <si>
    <t>Г. Смоленск, ул. Энгельса, д. 11</t>
  </si>
  <si>
    <t>Г. Смоленск, ул. Энгельса, д. 16</t>
  </si>
  <si>
    <t>Г. Смоленск, ул. Энгельса, д. 3</t>
  </si>
  <si>
    <t>Г. Смоленск, ул. Энгельса, д. 6</t>
  </si>
  <si>
    <t>Г. Смоленск, ул. Энгельса, д. 9</t>
  </si>
  <si>
    <t>Дер. Верховье, ул. Поселковая, д. 3</t>
  </si>
  <si>
    <t>Дер. Кощино, ул. Мира, д. 1</t>
  </si>
  <si>
    <t>Пос. Автозаправочной станции, д. 5</t>
  </si>
  <si>
    <t>С. Катынь, ул. Витебское шоссе, д. 4</t>
  </si>
  <si>
    <t>С. Катынь, ул. Витебское шоссе, д. 5</t>
  </si>
  <si>
    <t>С. Катынь, ул. Витебское шоссе, д. 6</t>
  </si>
  <si>
    <t>С. Печерск, ул. Минская, д. 24</t>
  </si>
  <si>
    <t>С. Печерск, ул. Минская, д. 26</t>
  </si>
  <si>
    <t>С. Талашкино, ул. Ленина, д. 21</t>
  </si>
  <si>
    <t>С. Талашкино, ул. Ленина, д. 23</t>
  </si>
  <si>
    <t>Дер. Мальцево, ул. Парковая, д. 2</t>
  </si>
  <si>
    <t>Дер. Мальцево, ул. Парковая, д. 4</t>
  </si>
  <si>
    <t>С. Темкино, ул. Лядное, д. 17</t>
  </si>
  <si>
    <t>С. Угра, ул. Ленина, д. 30</t>
  </si>
  <si>
    <t>Пгт Хиславичи, ул. Советская, д. 104</t>
  </si>
  <si>
    <t>Пгт Хиславичи, ул. Советская, д. 123</t>
  </si>
  <si>
    <t>Пгт Хиславичи, ул. Советская, д. 45</t>
  </si>
  <si>
    <t>Пгт Хиславичи, ул. Шилкина, д. 5</t>
  </si>
  <si>
    <t>Пгт Хиславичи, ул. Шилкина, д. 7</t>
  </si>
  <si>
    <t>Пгт Хиславичи, ул. Берестнева, д. 26</t>
  </si>
  <si>
    <t>Пгт Шумячи, ул. Базарная, д. 15</t>
  </si>
  <si>
    <t>Пгт Шумячи, ул. Базарная, д. 21</t>
  </si>
  <si>
    <t>Пгт Шумячи, ул. Базарная, д. 50</t>
  </si>
  <si>
    <t>Пгт Шумячи, ул. Высокая, д. 15</t>
  </si>
  <si>
    <t>Пгт Шумячи, ул. Высокая, д. 18</t>
  </si>
  <si>
    <t>Пгт Шумячи, ул. Высокая, д. 20</t>
  </si>
  <si>
    <t>Пгт Шумячи, ул. Понятовская, д. 41</t>
  </si>
  <si>
    <t>Г. Ярцево, ул. 50 лет Октября, д. 4</t>
  </si>
  <si>
    <t>Г. Ярцево, ул. Братьев Шаршановых, д. 45</t>
  </si>
  <si>
    <t>Г. Ярцево, ул. Гагарина, д. 10/20</t>
  </si>
  <si>
    <t>Г. Ярцево, ул. Гагарина, д. 11</t>
  </si>
  <si>
    <t>Г. Ярцево, ул. Гагарина, д. 14</t>
  </si>
  <si>
    <t>Г. Ярцево, ул. Гагарина, д. 2</t>
  </si>
  <si>
    <t>Г. Ярцево, ул. Гагарина, д. 6</t>
  </si>
  <si>
    <t>Г. Ярцево, ул. Гагарина, д. 8</t>
  </si>
  <si>
    <t>Г. Ярцево, ул. Интернациональная, д. 3</t>
  </si>
  <si>
    <t>Г. Ярцево, ул. Первомайская, д. 14/6</t>
  </si>
  <si>
    <t>Г. Ярцево, ул. Первомайская, д. 16</t>
  </si>
  <si>
    <t>Г. Ярцево, ул. Первомайская, д. 23</t>
  </si>
  <si>
    <t>Г. Ярцево, ул. Первомайская, д. 26</t>
  </si>
  <si>
    <t>Дер. Михейково, ул. Советская, д. 32</t>
  </si>
  <si>
    <t>Итого по 2027 году</t>
  </si>
  <si>
    <t>Г. Велиж, пер. Красноармейский, д. 1</t>
  </si>
  <si>
    <t>Г. Велиж, ул. Еременко, д. 25</t>
  </si>
  <si>
    <t>Г. Велиж, ул. Еременко, д. 29</t>
  </si>
  <si>
    <t>Г. Велиж, ул. Кропоткина, д. 13/10</t>
  </si>
  <si>
    <t>Г. Вязьма, ул. 25 Октября, д. 24</t>
  </si>
  <si>
    <t>Г. Вязьма, ул. 25 Октября, д. 25</t>
  </si>
  <si>
    <t>Г. Вязьма, ул. 25 Октября, д. 26</t>
  </si>
  <si>
    <t>Г. Вязьма, ул. 25 Октября, д. 28</t>
  </si>
  <si>
    <t>Г. Вязьма, ул. 25 Октября, д. 3</t>
  </si>
  <si>
    <t>Г. Вязьма, ул. 25 Октября, д. 30</t>
  </si>
  <si>
    <t>Г. Вязьма, ул. 25 Октября, д. 5</t>
  </si>
  <si>
    <t>Г. Вязьма, ул. 25 Октября, д. 7</t>
  </si>
  <si>
    <t>Г. Вязьма, ул. Бауманская, д. 6</t>
  </si>
  <si>
    <t>Г. Вязьма, ул. Дзержинского, д. 6а</t>
  </si>
  <si>
    <t>Г. Вязьма, ул. Космонавтов, д. 10</t>
  </si>
  <si>
    <t>Г. Вязьма, ул. Космонавтов, д. 6</t>
  </si>
  <si>
    <t>Г. Вязьма, ул. Космонавтов, д. 8</t>
  </si>
  <si>
    <t>Г. Вязьма, ул. Кронштадтская, д. 5</t>
  </si>
  <si>
    <t>Г. Вязьма, ул. Ленина, д. 12</t>
  </si>
  <si>
    <t>Г. Вязьма, ул. Ленина, д. 29</t>
  </si>
  <si>
    <t>Г. Вязьма, ул. Ленина, д. 31</t>
  </si>
  <si>
    <t>Г. Вязьма, ул. Ленина, д. 42</t>
  </si>
  <si>
    <t>Г. Вязьма, ул. Ленина, д. 44</t>
  </si>
  <si>
    <t>Г. Вязьма, ул. Ленина, д. 46</t>
  </si>
  <si>
    <t>Г. Вязьма, ул. Ленина, д. 67</t>
  </si>
  <si>
    <t>Г. Вязьма, ул. Ленина, д. 69б</t>
  </si>
  <si>
    <t>Г. Вязьма, ул. Ленина, д. 69в</t>
  </si>
  <si>
    <t>Г. Вязьма, ул. Машинистов, д. 11</t>
  </si>
  <si>
    <t>Г. Вязьма, ул. Машинистов, д. 13</t>
  </si>
  <si>
    <t>Г. Вязьма, ул. Машинистов, д. 5</t>
  </si>
  <si>
    <t>Г. Вязьма, ул. Молодежная, д. 11</t>
  </si>
  <si>
    <t>Г. Вязьма, ул. Московская, д. 12</t>
  </si>
  <si>
    <t>Г. Вязьма, ул. Московская, д. 14</t>
  </si>
  <si>
    <t>Г. Вязьма, ул. Парижской Коммуны, д. 2</t>
  </si>
  <si>
    <t>Г. Вязьма, ул. Полины Осипенко, д. 4а</t>
  </si>
  <si>
    <t>Г. Вязьма, ул. Путевая, д. 5</t>
  </si>
  <si>
    <t>Г. Вязьма, ул. Репина, д. 11а</t>
  </si>
  <si>
    <t>Г. Вязьма, ул. Репина, д. 9</t>
  </si>
  <si>
    <t>Г. Вязьма, ул. Репина, д. 9а</t>
  </si>
  <si>
    <t>Г. Вязьма, ул. Юбилейная, д. 1</t>
  </si>
  <si>
    <t>Г. Вязьма, ул. Юбилейная, д. 5</t>
  </si>
  <si>
    <t>Дер. Новое Село, ул. Полевая, д. 2</t>
  </si>
  <si>
    <t>Дер. Новое Село, ул. Полевая, д. 3</t>
  </si>
  <si>
    <t>Дер. Относово, ул. Школьная, д. 16</t>
  </si>
  <si>
    <t>Дер. Относово, ул. Школьная, д. 6</t>
  </si>
  <si>
    <t>Дер. Относово, ул. Школьная, д. 8</t>
  </si>
  <si>
    <t>С. Андрейково, ул. Ленина, д. 1</t>
  </si>
  <si>
    <t>С. Андрейково, ул. Ленина, д. 2</t>
  </si>
  <si>
    <t>С. Андрейково, ул. Ленина, д. 3</t>
  </si>
  <si>
    <t>С. Андрейково, ул. Ленина, д. 4</t>
  </si>
  <si>
    <t>С. Бывалицы, ул. Мелиоративная, д. 13</t>
  </si>
  <si>
    <t>С. Бывалицы, ул. Мелиоративная, д. 2</t>
  </si>
  <si>
    <t>С. Вязьма-Брянская, ул. Авиационная, д. 1</t>
  </si>
  <si>
    <t>С. Новый, ул. Садовая, д. 3</t>
  </si>
  <si>
    <t>С. Новый, ул. Садовая, д. 5</t>
  </si>
  <si>
    <t>С. Семлево, ул. Советская, д. 4</t>
  </si>
  <si>
    <t>С. Туманово, ул. Мира, д. 6</t>
  </si>
  <si>
    <t>С. Шуйское, ул. Новоселов, д. 2</t>
  </si>
  <si>
    <t>С. Шуйское, ул. Новоселов, д. 4</t>
  </si>
  <si>
    <t>Г. Гагарин, ул. Бахтина, д. 7а</t>
  </si>
  <si>
    <t>Г. Гагарин, ул. Гагарина, д. 31</t>
  </si>
  <si>
    <t>Г. Гагарин, ул. Гагарина, д. 33/1</t>
  </si>
  <si>
    <t>Г. Гагарин, ул. Герцена, д. 43</t>
  </si>
  <si>
    <t>Г. Гагарин, ул. Ленина, д. 16</t>
  </si>
  <si>
    <t>Г. Гагарин, ул. Петра Алексеева, д. 1</t>
  </si>
  <si>
    <t>Г. Гагарин, ул. Петра Алексеева, д. 7</t>
  </si>
  <si>
    <t>Г. Гагарин, ул. Пушная, д. 2</t>
  </si>
  <si>
    <t>Г. Гагарин, ул. Юных космонавтов, д. 10</t>
  </si>
  <si>
    <t xml:space="preserve">Дер. Мамоново, ул. Центральная, д. 1 </t>
  </si>
  <si>
    <t>Дер. Родоманово, ул. Мира, д. 2</t>
  </si>
  <si>
    <t>Дер. Юрино, ул. Центральная, д. 6</t>
  </si>
  <si>
    <t>Дер. Юрино, ул. Центральная, д. 9</t>
  </si>
  <si>
    <t>С. Карманово, ул. Советская, д. 46</t>
  </si>
  <si>
    <t>Г. Демидов, ул. Мареевская, д. 1</t>
  </si>
  <si>
    <t>Г. Демидов, ул. Мареевская, д. 4</t>
  </si>
  <si>
    <t>Г. Демидов, ул. Мареевская, д. 6</t>
  </si>
  <si>
    <t>Г. Демидов, ул. Просвещения, д. 11</t>
  </si>
  <si>
    <t>Г. Ельня, ул. Молодежная, д. 1</t>
  </si>
  <si>
    <t>Г. Ельня, ул. Молодежная, д. 10</t>
  </si>
  <si>
    <t>Г. Ельня, ул. Молодежная, д. 11</t>
  </si>
  <si>
    <t>Г. Ельня, ул. Молодежная, д. 3</t>
  </si>
  <si>
    <t>Г. Ельня, ул. Молодежная, д. 4</t>
  </si>
  <si>
    <t>Г. Ельня, ул. Молодежная, д. 5</t>
  </si>
  <si>
    <t>Г. Ельня, ул. Молодежная, д. 7</t>
  </si>
  <si>
    <t>Г. Ельня, ул. Молодежная, д. 8</t>
  </si>
  <si>
    <t>Г. Ельня, ул. Первомайская, д. 14</t>
  </si>
  <si>
    <t>Г. Ельня, ул. Пролетарская, д. 76</t>
  </si>
  <si>
    <t>С. Ершичи, ул. Молодёжная, д. 7</t>
  </si>
  <si>
    <t>Дер. Гусино, ул. Комсомольская, д. 9</t>
  </si>
  <si>
    <t>Дер. Гусино, ул. П/Я, д. 5</t>
  </si>
  <si>
    <t>Дер. Гусино, ул. Первомайская, д. 21а</t>
  </si>
  <si>
    <t>Дер. Маньково, ул. Советская, д. 13</t>
  </si>
  <si>
    <t>Дер. Маньково, ул. Советская, д. 15</t>
  </si>
  <si>
    <t>Дер. Павлово, ул. Механизаторов, д. 5</t>
  </si>
  <si>
    <t>Пгт Красный, ул. Советская, д. 34</t>
  </si>
  <si>
    <t>Дер. Соболево, д. 28</t>
  </si>
  <si>
    <t>Дер. Татарск, д. 112</t>
  </si>
  <si>
    <t>Пгт Монастырщина, ул. Мира, д. 1</t>
  </si>
  <si>
    <t>С. Новодугино, пл. Базарная, д. 7</t>
  </si>
  <si>
    <t>Г. Починок, мкрн. Ёлки, д. 203</t>
  </si>
  <si>
    <t>Г. Починок, ул. Полевая, д. 11</t>
  </si>
  <si>
    <t>Г. Починок, ул. Терешковой, д. 6</t>
  </si>
  <si>
    <t>Дер. Климщина, д. 89</t>
  </si>
  <si>
    <t>Дер. Климщина, д. 93</t>
  </si>
  <si>
    <t>Дер. Мачулы, д. 102</t>
  </si>
  <si>
    <t>Дер. Мачулы, д. 104</t>
  </si>
  <si>
    <t>Дер. Мачулы, д. 106</t>
  </si>
  <si>
    <t>Дер. Мачулы, д. 95</t>
  </si>
  <si>
    <t>Дер. Мачулы, д. 98</t>
  </si>
  <si>
    <t>Дер. Мурыгино, ул. Школьная, д. 36</t>
  </si>
  <si>
    <t>Дер. Пересна, д. 9</t>
  </si>
  <si>
    <t>Дер. Рябцево, д. 10</t>
  </si>
  <si>
    <t>Дер. Рябцево, д. 11</t>
  </si>
  <si>
    <t>Дер. Рябцево, д. 13</t>
  </si>
  <si>
    <t>Дер. Стригино, д. 4</t>
  </si>
  <si>
    <t>Дер. Стригино, д. 5</t>
  </si>
  <si>
    <t>Пос. Стодолище, пер. 2-й Советский, д. 2</t>
  </si>
  <si>
    <t>Пос. Стодолище, пер. 2-й Советский, д. 4</t>
  </si>
  <si>
    <t>Пос. Шаталово-1, д. 390</t>
  </si>
  <si>
    <t>Пос. Шаталово-1, д. 391</t>
  </si>
  <si>
    <t>Г. Рославль, ул. Красноармейская, д. 100</t>
  </si>
  <si>
    <t>Г. Рославль, ул. Красноармейская, д. 13б</t>
  </si>
  <si>
    <t>Г. Рославль, ул. Красноармейская, д. 1а</t>
  </si>
  <si>
    <t>Г. Рославль, ул. Красноармейская, д. 1б</t>
  </si>
  <si>
    <t>Г. Рославль, ул. Красноармейская, д. 49</t>
  </si>
  <si>
    <t>Г. Рославль, ул. Октябрьская, д. 29</t>
  </si>
  <si>
    <t>Г. Рославль, ул. Пригородная, д. 13</t>
  </si>
  <si>
    <t>Г. Рославль, ул. Пригородная, д. 15</t>
  </si>
  <si>
    <t>Г. Рославль, ул. Пригородная, д. 17</t>
  </si>
  <si>
    <t>Г. Рославль, ул. Республиканская, д. 8</t>
  </si>
  <si>
    <t>Г. Рославль, ул. Товарная, д. 5</t>
  </si>
  <si>
    <t>Г. Рославль, ул. Урицкого, д. 11б</t>
  </si>
  <si>
    <t>Дер. Льнозавода, ул. Заводская, д. 1</t>
  </si>
  <si>
    <t>Дер. Льнозавода, ул. Заводская, д. 5</t>
  </si>
  <si>
    <t>Дер. Перенка, д. 17</t>
  </si>
  <si>
    <t>С. Богданово, ул. Западная, д. 1</t>
  </si>
  <si>
    <t>С. Екимовичи, ул. Ленинская, д. 33</t>
  </si>
  <si>
    <t>Г. Рудня, ул. Мелиораторов, д. 29</t>
  </si>
  <si>
    <t>Г. Рудня, ул. Смоленская, д. 2а</t>
  </si>
  <si>
    <t>Дер. Стаи, ул. Первомайская, д. 18</t>
  </si>
  <si>
    <t>Пгт Голынки, ул. Железнодорожная, д. 10</t>
  </si>
  <si>
    <t>Пгт Голынки, ул. Железнодорожная, д. 6</t>
  </si>
  <si>
    <t>Пгт Голынки, ул. Железнодорожная, д. 8</t>
  </si>
  <si>
    <t>Пгт Голынки, ул. Коммунистическая, д. 10</t>
  </si>
  <si>
    <t>Пгт Голынки, ул. Коммунистическая, д. 14</t>
  </si>
  <si>
    <t>Пгт Голынки, ул. Коммунистическая, д. 4</t>
  </si>
  <si>
    <t>Пгт Голынки, ул. Коммунистическая, д. 8</t>
  </si>
  <si>
    <t>Пгт Голынки, ул. Комсомольская, д. 4</t>
  </si>
  <si>
    <t>Пгт Голынки, ул. Ленина, д. 10</t>
  </si>
  <si>
    <t>Пгт Голынки, ул. Ленина, д. 2</t>
  </si>
  <si>
    <t>Пгт Голынки, ул. Ленина, д. 4</t>
  </si>
  <si>
    <t>Пгт Голынки, ул. Ленина, д. 6</t>
  </si>
  <si>
    <t>Пгт Голынки, ул. Ленина, д. 8</t>
  </si>
  <si>
    <t>Пгт Голынки, ул. Ленина, д. 9</t>
  </si>
  <si>
    <t>Г. Сафоново, микрорайон-2, д. 14</t>
  </si>
  <si>
    <t>Г. Сафоново, микрорайон-2, д. 16</t>
  </si>
  <si>
    <t>Г. Сафоново, микрорайон-2, д. 19</t>
  </si>
  <si>
    <t>Г. Сафоново, микрорайон-2, д. 27</t>
  </si>
  <si>
    <t>Г. Сафоново, ул. Гастелло, д. 15</t>
  </si>
  <si>
    <t>Г. Сафоново, ул. Заозерная, д. 4</t>
  </si>
  <si>
    <t>Г. Сафоново, ул. Кирпичный городок, д. 1</t>
  </si>
  <si>
    <t>Г. Сафоново, ул. Кирпичный городок, д. 2</t>
  </si>
  <si>
    <t>Г. Сафоново, ул. Коммунальная, д. 11</t>
  </si>
  <si>
    <t>Г. Сафоново, ул. Ленинградская, д. 12</t>
  </si>
  <si>
    <t>Г. Сафоново, ул. Ленинградская, д. 14</t>
  </si>
  <si>
    <t>Г. Сафоново, ул. Революционная, д. 13</t>
  </si>
  <si>
    <t>Г. Сафоново, ул. Свободы, д. 5а</t>
  </si>
  <si>
    <t>Г. Сафоново, ул. Строителей, д. 26а</t>
  </si>
  <si>
    <t>Дер. Вышегор, ул. Мира, д. 2</t>
  </si>
  <si>
    <t>Пос. Вадино, ул. Мелиораторов, д. 2</t>
  </si>
  <si>
    <t>Пос. Вадино, ул. Мелиораторов, д. 3</t>
  </si>
  <si>
    <t>Пос. Вадино, ул. Мелиораторов, д. 5</t>
  </si>
  <si>
    <t>С. Издешково, ул. 2-я Ленинская, д. 7</t>
  </si>
  <si>
    <t>С. Издешково, ул. 2-я Ленинская, д. 7а</t>
  </si>
  <si>
    <t>С. Издешково, ул. 2-я Ленинская, д. 7в</t>
  </si>
  <si>
    <t>С. Издешково, ул. 2-я Ленинская, д. 9</t>
  </si>
  <si>
    <t>Г. Смоленск, бульвар Гагарина, д. 10</t>
  </si>
  <si>
    <t>Г. Смоленск, бульвар Гагарина, д. 3</t>
  </si>
  <si>
    <t>Г. Смоленск, бульвар Гагарина, д. 4</t>
  </si>
  <si>
    <t>Г. Смоленск, бульвар Гагарина, д. 5</t>
  </si>
  <si>
    <t>Г. Смоленск, бульвар Гагарина, д. 6</t>
  </si>
  <si>
    <t>Г. Смоленск, бульвар Гагарина, д. 7</t>
  </si>
  <si>
    <t>Г. Смоленск, городок Коминтерна, д. 16</t>
  </si>
  <si>
    <t>Г. Смоленск, городок Коминтерна, д. 17</t>
  </si>
  <si>
    <t>Г. Смоленск, городок Коминтерна, д. 9а</t>
  </si>
  <si>
    <t>Г. Смоленск, мкрн. Южный, д. 39а</t>
  </si>
  <si>
    <t>Г. Смоленск, пер. Запольный, д. 3</t>
  </si>
  <si>
    <t>Г. Смоленск, пер. Ново-Киевский, д. 4а</t>
  </si>
  <si>
    <t>Г. Смоленск, пер. Смирнова, д. 5</t>
  </si>
  <si>
    <t>Г. Смоленск, пер. Станционный, д. 10</t>
  </si>
  <si>
    <t>Г. Смоленск, пер. Станционный, д. 4</t>
  </si>
  <si>
    <t>Г. Смоленск, пер. Станционный, д. 6</t>
  </si>
  <si>
    <t>Г. Смоленск, пер. Станционный, д. 8</t>
  </si>
  <si>
    <t>Г. Смоленск, пер. Хлебозаводской, д. 18</t>
  </si>
  <si>
    <t>Г. Смоленск, пос. Анастасино, д. 36</t>
  </si>
  <si>
    <t>Г. Смоленск, пос. Вязовенька, д. 4</t>
  </si>
  <si>
    <t>Г. Смоленск, пос. Миловидово, д. 2</t>
  </si>
  <si>
    <t>Г. Смоленск, пос. Миловидово, д. 3</t>
  </si>
  <si>
    <t>Г. Смоленск, пос. Миловидово, д. 4</t>
  </si>
  <si>
    <t>Г. Смоленск, пос. Миловидово, д. 5</t>
  </si>
  <si>
    <t>Г. Смоленск, пос. Серебрянка, д. 68а</t>
  </si>
  <si>
    <t>Г. Смоленск, пос. Серебрянка, д. 68б</t>
  </si>
  <si>
    <t>Г. Смоленск, пос. Серебрянка, д. 68г</t>
  </si>
  <si>
    <t>Г. Смоленск, пос. Серебрянка, д. 70</t>
  </si>
  <si>
    <t>Г. Смоленск, пос. Тихвинка, д. 24</t>
  </si>
  <si>
    <t>Г. Смоленск, пос. Тихвинка, д. 26</t>
  </si>
  <si>
    <t>Г. Смоленск, просп. Гагарина, д. 17</t>
  </si>
  <si>
    <t>Г. Смоленск, просп. Гагарина, д. 19</t>
  </si>
  <si>
    <t>Г. Смоленск, просп. Гагарина, д. 20а</t>
  </si>
  <si>
    <t>Г. Смоленск, ул. 25 Сентября, д. 1</t>
  </si>
  <si>
    <t>Г. Смоленск, ул. 25 Сентября, д. 5</t>
  </si>
  <si>
    <t>Г. Смоленск, ул. 2-я Вяземская, д. 3</t>
  </si>
  <si>
    <t>Г. Смоленск, ул. 2-я Вяземская, д. 5</t>
  </si>
  <si>
    <t>Г. Смоленск, ул. 4-я Загорная, д. 11</t>
  </si>
  <si>
    <t>Г. Смоленск, ул. 4-я Загорная, д. 13</t>
  </si>
  <si>
    <t>Г. Смоленск, ул. 4-я Загорная, д. 14</t>
  </si>
  <si>
    <t>Г. Смоленск, ул. 4-я Загорная, д. 9</t>
  </si>
  <si>
    <t>Г. Смоленск, ул. Автозаводская, д. 17</t>
  </si>
  <si>
    <t>Г. Смоленск, ул. Автозаводская, д. 19</t>
  </si>
  <si>
    <t>Г. Смоленск, ул. Автозаводская, д. 30</t>
  </si>
  <si>
    <t>Г. Смоленск, ул. Академика Петрова, д. 1</t>
  </si>
  <si>
    <t>Г. Смоленск, ул. Академика Петрова, д. 3</t>
  </si>
  <si>
    <t>Г. Смоленск, ул. Академика Петрова, д. 5</t>
  </si>
  <si>
    <t>Г. Смоленск, ул. Академика Петрова, д. 7</t>
  </si>
  <si>
    <t>Г. Смоленск, ул. Академика Петрова, д. 9</t>
  </si>
  <si>
    <t>Г. Смоленск, ул. Багратиона, д. 10</t>
  </si>
  <si>
    <t>Г. Смоленск, ул. Багратиона, д. 12/13</t>
  </si>
  <si>
    <t>Г. Смоленск, ул. Багратиона, д. 13</t>
  </si>
  <si>
    <t>Г. Смоленск, ул. Багратиона, д. 14/12</t>
  </si>
  <si>
    <t>Г. Смоленск, ул. Багратиона, д. 15</t>
  </si>
  <si>
    <t>Г. Смоленск, ул. Багратиона, д. 16</t>
  </si>
  <si>
    <t>Г. Смоленск, ул. Багратиона, д. 17</t>
  </si>
  <si>
    <t>Г. Смоленск, ул. Багратиона, д. 19</t>
  </si>
  <si>
    <t>Г. Смоленск, ул. Багратиона, д. 20</t>
  </si>
  <si>
    <t>Г. Смоленск, ул. Багратиона, д. 21</t>
  </si>
  <si>
    <t>Г. Смоленск, ул. Багратиона, д. 22</t>
  </si>
  <si>
    <t>Г. Смоленск, ул. Багратиона, д. 24</t>
  </si>
  <si>
    <t>Г. Смоленск, ул. Белинского, д. 5</t>
  </si>
  <si>
    <t>Г. Смоленск, ул. Белинского, д. 7</t>
  </si>
  <si>
    <t>Г. Смоленск, ул. Брестская, д. 1</t>
  </si>
  <si>
    <t>Г. Смоленск, ул. Гастелло, д. 12</t>
  </si>
  <si>
    <t>Г. Смоленск, ул. Гастелло, д. 20</t>
  </si>
  <si>
    <t>Г. Смоленск, ул. Генерала Лукина, д. 2</t>
  </si>
  <si>
    <t>Г. Смоленск, ул. Герцена, д. 13</t>
  </si>
  <si>
    <t>Г. Смоленск, ул. Герцена, д. 13а</t>
  </si>
  <si>
    <t>Г. Смоленск, ул. Госпитальная, д. 31</t>
  </si>
  <si>
    <t>Г. Смоленск, ул. Госпитальная, д. 4а</t>
  </si>
  <si>
    <t>Г. Смоленск, ул. Губенко, д. 10</t>
  </si>
  <si>
    <t>Г. Смоленск, ул. Губенко, д. 14</t>
  </si>
  <si>
    <t>Г. Смоленск, ул. Губенко, д. 7</t>
  </si>
  <si>
    <t>Г. Смоленск, ул. Губенко, д. 9</t>
  </si>
  <si>
    <t>Г. Смоленск, ул. Дзержинского, д. 2а</t>
  </si>
  <si>
    <t>Г. Смоленск, ул. Докучаева, д. 11</t>
  </si>
  <si>
    <t>Г. Смоленск, ул. Докучаева, д. 6</t>
  </si>
  <si>
    <t>Г. Смоленск, ул. Исаковского, д. 20</t>
  </si>
  <si>
    <t>Г. Смоленск, ул. Исаковского, д. 26</t>
  </si>
  <si>
    <t>Г. Смоленск, ул. Карбышева, д. 8</t>
  </si>
  <si>
    <t>Г. Смоленск, ул. Кирова, д. 2а</t>
  </si>
  <si>
    <t>Г. Смоленск, ул. Кирова, д. 2/57</t>
  </si>
  <si>
    <t>Г. Смоленск, ул. Кирова, д. 11/3</t>
  </si>
  <si>
    <t>Г. Смоленск, ул. Кирова, д. 13</t>
  </si>
  <si>
    <t>Г. Смоленск, ул. Кирова, д. 13а</t>
  </si>
  <si>
    <t>Г. Смоленск, ул. Кирова, д. 14</t>
  </si>
  <si>
    <t>Г. Смоленск, ул. Кирова, д. 16</t>
  </si>
  <si>
    <t>Г. Смоленск, ул. Кирова, д. 17</t>
  </si>
  <si>
    <t>Г. Смоленск, ул. Кирова, д. 17а</t>
  </si>
  <si>
    <t>Г. Смоленск, ул. Кирова, д. 18</t>
  </si>
  <si>
    <t>Г. Смоленск, ул. Кирова, д. 19</t>
  </si>
  <si>
    <t>Г. Смоленск, ул. Кирова, д. 19а</t>
  </si>
  <si>
    <t>Г. Смоленск, ул. Кирова, д. 20</t>
  </si>
  <si>
    <t>Г. Смоленск, ул. Кирова, д. 22</t>
  </si>
  <si>
    <t>Г. Смоленск, ул. Кирова, д. 24</t>
  </si>
  <si>
    <t>Г. Смоленск, ул. Кирова, д. 29</t>
  </si>
  <si>
    <t>Г. Смоленск, ул. Кирова, д. 33</t>
  </si>
  <si>
    <t>Г. Смоленск, ул. Кирова, д. 34</t>
  </si>
  <si>
    <t>Г. Смоленск, ул. Кирова, д. 41а</t>
  </si>
  <si>
    <t>Г. Смоленск, ул. Кирова, д. 55</t>
  </si>
  <si>
    <t>Г. Смоленск, ул. Козлова, д. 5</t>
  </si>
  <si>
    <t>Г. Смоленск, ул. Кооперативная, д. 31</t>
  </si>
  <si>
    <t>Г. Смоленск, ул. Котовского, д. 7</t>
  </si>
  <si>
    <t>Г. Смоленск, ул. Котовского, д. 1а</t>
  </si>
  <si>
    <t>Г. Смоленск, ул. Крупской, д. 43/2</t>
  </si>
  <si>
    <t>Г. Смоленск, ул. Крупской, д. 55в</t>
  </si>
  <si>
    <t>Г. Смоленск, ул. Крупской, д. 62</t>
  </si>
  <si>
    <t>Г. Смоленск, ул. Крупской, д. 64</t>
  </si>
  <si>
    <t>Г. Смоленск, ул. Крупской, д. 73</t>
  </si>
  <si>
    <t>Г. Смоленск, ул. Крупской, д. 73а</t>
  </si>
  <si>
    <t>Г. Смоленск, ул. Кутузова, д. 2а</t>
  </si>
  <si>
    <t>Г. Смоленск, ул. Кутузова, д. 4</t>
  </si>
  <si>
    <t>Г. Смоленск, ул. Кутузова, д. 6</t>
  </si>
  <si>
    <t>Г. Смоленск, ул. Кутузова, д. 8</t>
  </si>
  <si>
    <t>Г. Смоленск, ул. Кутузова, д. 8а</t>
  </si>
  <si>
    <t>Г. Смоленск, ул. Кутузова, д. 10</t>
  </si>
  <si>
    <t>Г. Смоленск, ул. Кутузова, д. 12</t>
  </si>
  <si>
    <t>Г. Смоленск, ул. Кутузова, д. 30</t>
  </si>
  <si>
    <t>Г. Смоленск, ул. Лавочкина, д. 42</t>
  </si>
  <si>
    <t>Г. Смоленск, ул. Лавочкина, д. 43</t>
  </si>
  <si>
    <t>Г. Смоленск, ул. Лавочкина, д. 44</t>
  </si>
  <si>
    <t>Г. Смоленск, ул. Лавочкина, д. 54а</t>
  </si>
  <si>
    <t>Г. Смоленск, ул. Ленина, д. 30</t>
  </si>
  <si>
    <t>Г. Смоленск, ул. Ленина, д. 34</t>
  </si>
  <si>
    <t>Г. Смоленск, ул. Ленина, д. 38</t>
  </si>
  <si>
    <t>Г. Смоленск, ул. Ломоносова, д. 1/74</t>
  </si>
  <si>
    <t>Г. Смоленск, ул. Ломоносова, д. 3</t>
  </si>
  <si>
    <t>Г. Смоленск, ул. Ломоносова, д. 4</t>
  </si>
  <si>
    <t>Г. Смоленск, ул. Ломоносова, д. 5</t>
  </si>
  <si>
    <t>Г. Смоленск, ул. Ломоносова, д. 6</t>
  </si>
  <si>
    <t>Г. Смоленск, ул. Ломоносова, д. 6а</t>
  </si>
  <si>
    <t>Г. Смоленск, ул. Ломоносова, д. 6б</t>
  </si>
  <si>
    <t>Г. Смоленск, ул. Ломоносова, д. 7</t>
  </si>
  <si>
    <t>Г. Смоленск, ул. Ломоносова, д. 9</t>
  </si>
  <si>
    <t>Г. Смоленск, ул. Ломоносова, д. 15а</t>
  </si>
  <si>
    <t>Г. Смоленск, ул. Ломоносова, д. 16</t>
  </si>
  <si>
    <t>Г. Смоленск, ул. Ломоносова, д. 17</t>
  </si>
  <si>
    <t>Г. Смоленск, ул. Ломоносова, д. 17а</t>
  </si>
  <si>
    <t>Г. Смоленск, ул. Ломоносова, д. 17б</t>
  </si>
  <si>
    <t>Г. Смоленск, ул. Ломоносова, д. 21</t>
  </si>
  <si>
    <t>Г. Смоленск, ул. Ломоносова, д. 21а</t>
  </si>
  <si>
    <t>Г. Смоленск, ул. Ломоносова, д. 23</t>
  </si>
  <si>
    <t>Г. Смоленск, ул. Ломоносова, д. 23а</t>
  </si>
  <si>
    <t>Г. Смоленск, ул. Маршала Жукова, д. 13</t>
  </si>
  <si>
    <t>Г. Смоленск, ул. Минская, д. 13</t>
  </si>
  <si>
    <t>Г. Смоленск, ул. Минская, д. 13а</t>
  </si>
  <si>
    <t>Г. Смоленск, ул. Молодёжная, д. 14</t>
  </si>
  <si>
    <t>Г. Смоленск, ул. Нахимова, д. 1а</t>
  </si>
  <si>
    <t>Г. Смоленск, ул. Нахимова, д. 3</t>
  </si>
  <si>
    <t>Г. Смоленск, ул. Нахимова, д. 3а</t>
  </si>
  <si>
    <t>Г. Смоленск, ул. Нахимова, д. 4</t>
  </si>
  <si>
    <t>Г. Смоленск, ул. Нахимова, д. 5</t>
  </si>
  <si>
    <t>Г. Смоленск, ул. Нахимова, д. 6</t>
  </si>
  <si>
    <t>Г. Смоленск, ул. Нахимова, д. 6а</t>
  </si>
  <si>
    <t>Г. Смоленск, ул. Нахимова, д. 8</t>
  </si>
  <si>
    <t>Г. Смоленск, ул. Нахимова, д. 10</t>
  </si>
  <si>
    <t>Г. Смоленск, ул. Нахимова, д. 11</t>
  </si>
  <si>
    <t>Г. Смоленск, ул. Нахимова, д. 18а</t>
  </si>
  <si>
    <t>Г. Смоленск, ул. Нахимова, д. 20а</t>
  </si>
  <si>
    <t>Г. Смоленск, ул. Николаева, д. 6</t>
  </si>
  <si>
    <t>Г. Смоленск, ул. Николаева, д. 16в</t>
  </si>
  <si>
    <t>Г. Смоленск, ул. Николаева, д. 24</t>
  </si>
  <si>
    <t>Г. Смоленск, ул. Николаева, д. 26</t>
  </si>
  <si>
    <t>Г. Смоленск, ул. Николаева, д. 34</t>
  </si>
  <si>
    <t>Г. Смоленск, ул. Николаева, д. 34а</t>
  </si>
  <si>
    <t>Г. Смоленск, ул. Николаева, д. 34б</t>
  </si>
  <si>
    <t>Г. Смоленск, ул. Николаева, д. 36</t>
  </si>
  <si>
    <t>Г. Смоленск, ул. Николаева, д. 38</t>
  </si>
  <si>
    <t>Г. Смоленск, ул. Николаева, д. 40</t>
  </si>
  <si>
    <t>Г. Смоленск, ул. Николаева, д. 42</t>
  </si>
  <si>
    <t>Г. Смоленск, ул. Николаева, д. 44</t>
  </si>
  <si>
    <t>Г. Смоленск, ул. Николаева, д. 49</t>
  </si>
  <si>
    <t>Г. Смоленск, ул. Николаева, д. 51</t>
  </si>
  <si>
    <t>Г. Смоленск, ул. Николаева, д. 61/38</t>
  </si>
  <si>
    <t>Г. Смоленск, ул. Николаева, д. 65</t>
  </si>
  <si>
    <t>Г. Смоленск, ул. Николаева, д. 67</t>
  </si>
  <si>
    <t>Г. Смоленск, ул. Николаева, д. 69</t>
  </si>
  <si>
    <t>Г. Смоленск, ул. Ново-Киевская, д. 1</t>
  </si>
  <si>
    <t>Г. Смоленск, ул. Ново-Киевская, д. 5</t>
  </si>
  <si>
    <t>Г. Смоленск, ул. Ново-Киевская, д. 11</t>
  </si>
  <si>
    <t>Г. Смоленск, ул. Нормандия-Неман, д. 2а</t>
  </si>
  <si>
    <t>Г. Смоленск, ул. Нормандия-Неман, д. 14</t>
  </si>
  <si>
    <t>Г. Смоленск, ул. Нормандия-Неман, д. 16</t>
  </si>
  <si>
    <t>Г. Смоленск, ул. Нормандия-Неман, д. 22</t>
  </si>
  <si>
    <t>Г. Смоленск, ул. Папанина, д. 12а</t>
  </si>
  <si>
    <t>Г. Смоленск, ул. Попова, д. 14</t>
  </si>
  <si>
    <t>Г. Смоленск, ул. Попова, д. 14а</t>
  </si>
  <si>
    <t>Г. Смоленск, ул. Попова, д. 16</t>
  </si>
  <si>
    <t>Г. Смоленск, ул. Попова, д. 18</t>
  </si>
  <si>
    <t>Г. Смоленск, ул. Попова, д. 20</t>
  </si>
  <si>
    <t>Г. Смоленск, ул. Попова, д. 22</t>
  </si>
  <si>
    <t>Г. Смоленск, ул. Попова, д. 26</t>
  </si>
  <si>
    <t>Г. Смоленск, ул. Попова, д. 28</t>
  </si>
  <si>
    <t>Г. Смоленск, ул. Попова, д. 4</t>
  </si>
  <si>
    <t>Г. Смоленск, ул. Попова, д. 4а</t>
  </si>
  <si>
    <t>Г. Смоленск, ул. Попова, д. 6</t>
  </si>
  <si>
    <t>Г. Смоленск, ул. Попова, д. 8</t>
  </si>
  <si>
    <t>Г. Смоленск, ул. Пригородная, д. 2</t>
  </si>
  <si>
    <t>Г. Смоленск, ул. Радищева, д. 10</t>
  </si>
  <si>
    <t>Г. Смоленск, ул. Радищева, д. 13</t>
  </si>
  <si>
    <t>Г. Смоленск, ул. Радищева, д. 14а</t>
  </si>
  <si>
    <t>Г. Смоленск, ул. Радищева, д. 15</t>
  </si>
  <si>
    <t>Г. Смоленск, ул. Радищева, д. 17</t>
  </si>
  <si>
    <t>Г. Смоленск, ул. Радищева, д. 19</t>
  </si>
  <si>
    <t>Г. Смоленск, ул. Радищева, д. 21</t>
  </si>
  <si>
    <t>Г. Смоленск, ул. Радищева, д. 23</t>
  </si>
  <si>
    <t>Г. Смоленск, ул. Радищева, д. 7</t>
  </si>
  <si>
    <t>Г. Смоленск, ул. Радищева, д. 8</t>
  </si>
  <si>
    <t>Г. Смоленск, ул. Радищева, д. 9а</t>
  </si>
  <si>
    <t>Г. Смоленск, ул. Раевского, д. 1</t>
  </si>
  <si>
    <t>Г. Смоленск, ул. Раевского, д. 3</t>
  </si>
  <si>
    <t>Г. Смоленск, ул. Реввоенсовета, д. 20</t>
  </si>
  <si>
    <t>Г. Смоленск, ул. Румянцева, д. 17</t>
  </si>
  <si>
    <t>Г. Смоленск, ул. Румянцева, д. 17а</t>
  </si>
  <si>
    <t>Г. Смоленск, ул. Румянцева, д. 17б</t>
  </si>
  <si>
    <t>Г. Смоленск, ул. Румянцева, д. 2/54</t>
  </si>
  <si>
    <t>Г. Смоленск, ул. Румянцева, д. 3</t>
  </si>
  <si>
    <t>Г. Смоленск, ул. Румянцева, д. 5</t>
  </si>
  <si>
    <t>Г. Смоленск, ул. Румянцева, д. 7</t>
  </si>
  <si>
    <t>Г. Смоленск, ул. Румянцева, д. 9</t>
  </si>
  <si>
    <t>Г. Смоленск, ул. Седова, д. 31а</t>
  </si>
  <si>
    <t>Г. Смоленск, ул. Седова, д. 46</t>
  </si>
  <si>
    <t>Г. Смоленск, ул. Седова, д. 48</t>
  </si>
  <si>
    <t>Г. Смоленск, ул. Седова, д. 56</t>
  </si>
  <si>
    <t>Г. Смоленск, ул. Седова, д. 56а</t>
  </si>
  <si>
    <t>Г. Смоленск, ул. Соболева, д. 109</t>
  </si>
  <si>
    <t>Г. Смоленск, ул. Соболева, д. 109а</t>
  </si>
  <si>
    <t>Г. Смоленск, ул. Соболева, д. 112</t>
  </si>
  <si>
    <t>Г. Смоленск, ул. Соболева, д. 82</t>
  </si>
  <si>
    <t>Г. Смоленск, ул. Соболева, д. 82а</t>
  </si>
  <si>
    <t>Г. Смоленск, ул. Соболева, д. 84</t>
  </si>
  <si>
    <t>Г. Смоленск, ул. Станционная, д. 2а</t>
  </si>
  <si>
    <t>Г. Смоленск, ул. Твардовского, д. 1</t>
  </si>
  <si>
    <t>Г. Смоленск, ул. Твардовского, д. 15</t>
  </si>
  <si>
    <t>Г. Смоленск, ул. Твардовского, д. 1б</t>
  </si>
  <si>
    <t>Г. Смоленск, ул. Твардовского, д. 2б</t>
  </si>
  <si>
    <t>Г. Смоленск, ул. Твардовского, д. 4</t>
  </si>
  <si>
    <t>Г. Смоленск, ул. Толмачева, д. 2</t>
  </si>
  <si>
    <t>Г. Смоленск, ул. Тухачевского, д. 11</t>
  </si>
  <si>
    <t>Г. Смоленск, ул. Тухачевского, д. 7</t>
  </si>
  <si>
    <t>Г. Смоленск, ул. Фрунзе, д. 39</t>
  </si>
  <si>
    <t>Г. Смоленск, ул. Фрунзе, д. 58а</t>
  </si>
  <si>
    <t>Г. Смоленск, ул. Фурманова, д. 33</t>
  </si>
  <si>
    <t>Г. Смоленск, ул. Центральная, д. 5а</t>
  </si>
  <si>
    <t>Г. Смоленск, ул. Чернышевского, д. 10а</t>
  </si>
  <si>
    <t>Г. Смоленск, ул. Чернышевского, д. 16а</t>
  </si>
  <si>
    <t>Г. Смоленск, ул. Чернышевского, д. 18</t>
  </si>
  <si>
    <t>Г. Смоленск, ул. Чернышевского, д. 20</t>
  </si>
  <si>
    <t>Г. Смоленск, ул. Чернышевского, д. 22</t>
  </si>
  <si>
    <t>Г. Смоленск, ул. Чернышевского, д. 24</t>
  </si>
  <si>
    <t>Г. Смоленск, ул. Чернышевского, д. 4</t>
  </si>
  <si>
    <t>Г. Смоленск, ул. Чернышевского, д. 4а</t>
  </si>
  <si>
    <t>Г. Смоленск, ул. Черняховского, д. 1</t>
  </si>
  <si>
    <t>Г. Смоленск, ул. Черняховского, д. 8</t>
  </si>
  <si>
    <t>Г. Смоленск, ул. Черняховского, д. 14</t>
  </si>
  <si>
    <t>Г. Смоленск, ул. Черняховского, д. 18б</t>
  </si>
  <si>
    <t>Г. Смоленск, ул. Шевченко, д. 58</t>
  </si>
  <si>
    <t>Г. Смоленск, ул. Шевченко, д. 60</t>
  </si>
  <si>
    <t>Г. Смоленск, ул. Шевченко, д. 61</t>
  </si>
  <si>
    <t>Г. Смоленск, ул. Шевченко, д. 63</t>
  </si>
  <si>
    <t>Г. Смоленск, ул. Шевченко, д. 66</t>
  </si>
  <si>
    <t>Г. Смоленск, ул. Шевченко, д. 67</t>
  </si>
  <si>
    <t>Г. Смоленск, ул. Шевченко, д. 69</t>
  </si>
  <si>
    <t>Г. Смоленск, ул. Шевченко, д. 76</t>
  </si>
  <si>
    <t>Г. Смоленск, ул. Щорса, д. 10</t>
  </si>
  <si>
    <t>Г. Смоленск, ул. Щорса, д. 12</t>
  </si>
  <si>
    <t>Г. Смоленск, ул. Щорса, д. 14</t>
  </si>
  <si>
    <t>Дер. Бобыри, ул. Центральная, д. 5</t>
  </si>
  <si>
    <t>Дер. Бобыри, ул. Центральная, д. 7</t>
  </si>
  <si>
    <t>Дер. Вязгино, ул. Дорожная, д. 4</t>
  </si>
  <si>
    <t>Дер. Вязгино, ул. Дорожная, д. 5</t>
  </si>
  <si>
    <t>Дер. Вязгино, ул. Дорожная, д. 6</t>
  </si>
  <si>
    <t>Дер. Вязгино, ул. Дорожная, д. 7</t>
  </si>
  <si>
    <t>Дер. Вязгино, ул. Дорожная, д. 8</t>
  </si>
  <si>
    <t>Дер. Магалинщина, ул. Садовая, д. 1</t>
  </si>
  <si>
    <t>Дер. Магалинщина, ул. Садовая, д. 2</t>
  </si>
  <si>
    <t>Дер. Русилово, ул. Центральная, д. 3</t>
  </si>
  <si>
    <t>Дер. Русилово, ул. Центральная, д. 5</t>
  </si>
  <si>
    <t>Дер. Русилово, ул. Центральная, д. 7</t>
  </si>
  <si>
    <t>Дер. Русилово, ул. Центральная, д. 9</t>
  </si>
  <si>
    <t>Дер. Санаторий Борок, д. 4</t>
  </si>
  <si>
    <t>Дер. Сметанино, ул. Озерная, д. 4</t>
  </si>
  <si>
    <t>Дер. Сметанино, ул. Озерная, д. 5</t>
  </si>
  <si>
    <t>Дер. Тепличный комбинат № 1, д. 1</t>
  </si>
  <si>
    <t>Дер. Тепличный комбинат № 1, д. 2</t>
  </si>
  <si>
    <t>Дер. Тепличный комбинат № 1, д. 3</t>
  </si>
  <si>
    <t>Пос. Автозаправочной станции, д. 1</t>
  </si>
  <si>
    <t>Пос. Авторемзавод, д. 6</t>
  </si>
  <si>
    <t>Пос. Гедеоновка, д. 12</t>
  </si>
  <si>
    <t>Пос. Гедеоновка, д. 13</t>
  </si>
  <si>
    <t>Пос. Гедеоновка, д. 14</t>
  </si>
  <si>
    <t>С. Катынь, ул. Витебское шоссе, д. 1</t>
  </si>
  <si>
    <t>С. Ольша, ул. Заозерная, д. 3</t>
  </si>
  <si>
    <t>С. Ольша, ул. Заозерная, д. 4</t>
  </si>
  <si>
    <t>С. Ольша, ул. Заозерная, д. 5</t>
  </si>
  <si>
    <t>С. Печерск, ул. Автодорожная, д. 2</t>
  </si>
  <si>
    <t>С. Печерск, ул. Минская, д. 2</t>
  </si>
  <si>
    <t>С. Пригорское, ул. Октябрьская, д. 1</t>
  </si>
  <si>
    <t>С. Пригорское, ул. Октябрьская, д. 11</t>
  </si>
  <si>
    <t>С. Пригорское, ул. Октябрьская, д. 3</t>
  </si>
  <si>
    <t>С. Пригорское, ул. Октябрьская, д. 5</t>
  </si>
  <si>
    <t>С. Пригорское, ул. Октябрьская, д. 7</t>
  </si>
  <si>
    <t>С. Пригорское, ул. Октябрьская, д. 9</t>
  </si>
  <si>
    <t>С. Талашкино, ул. Лесная, д. 2</t>
  </si>
  <si>
    <t>С. Талашкино, ул. Парковая, д. 6</t>
  </si>
  <si>
    <t>Г. Сычевка, ст. Сычевка, д. 16</t>
  </si>
  <si>
    <t>Г. Сычевка, ул. Большая Советская, д. 22</t>
  </si>
  <si>
    <t>Г. Сычевка, ул. Винокурова, д. 6а</t>
  </si>
  <si>
    <t>Г. Сычевка, ул. Винокурова, д. 8а</t>
  </si>
  <si>
    <t>Г. Сычевка, ул. Гоголя, д. 39</t>
  </si>
  <si>
    <t>Г. Сычевка, ул. Карла Маркса, д. 4</t>
  </si>
  <si>
    <t>Г. Сычевка, ул. Карла Маркса, д. 5</t>
  </si>
  <si>
    <t>Г. Сычевка, ул. Красноармейская, д. 80а</t>
  </si>
  <si>
    <t>Г. Сычевка, ул. Крыленко, д. 20</t>
  </si>
  <si>
    <t>Г. Сычевка, ул. Крыленко, д. 38</t>
  </si>
  <si>
    <t>Г. Сычевка, ул. Луначарского, д. 6а</t>
  </si>
  <si>
    <t>Дер. Вараксино, ул. Набережная, д. 3</t>
  </si>
  <si>
    <t>Дер. Ладыгино, ул. Луговая, д. 4</t>
  </si>
  <si>
    <t>Дер. Мальцево, ул. Труда, д. 1</t>
  </si>
  <si>
    <t>Дер. Юшино, ул. Центральная, д. 25</t>
  </si>
  <si>
    <t>Дер. Вешки, ул. Елочки, д. 21</t>
  </si>
  <si>
    <t>Дер. Вешки, ул. Южная, д. 4</t>
  </si>
  <si>
    <t>Дер. Михали, ул. Центральная, д. 1</t>
  </si>
  <si>
    <t>С. Угра, ул. Десантная, д. 9</t>
  </si>
  <si>
    <t>С. Угра, ул. Железнодорожная, д. 16</t>
  </si>
  <si>
    <t>Пгт Хиславичи, ул. Гагарина, д. 1</t>
  </si>
  <si>
    <t>Пгт Холм-Жирковский, ул. Ленина, д. 3</t>
  </si>
  <si>
    <t>Пгт Шумячи, ул. Высокая, д. 8</t>
  </si>
  <si>
    <t>Пгт Шумячи, ул. Маяковского, д. 3</t>
  </si>
  <si>
    <t>Пгт Шумячи, ул. Садовая, д. 20</t>
  </si>
  <si>
    <t>Пгт Шумячи, ул. Санаторная школа, д. 2</t>
  </si>
  <si>
    <t>Пгт Шумячи, ул. Санаторная школа, д. 3</t>
  </si>
  <si>
    <t>Пгт Шумячи, ул. Санаторная школа, д. 4</t>
  </si>
  <si>
    <t>Г. Ярцево, ул. Краснооктябрьская, д. 33а</t>
  </si>
  <si>
    <t>Г. Ярцево, ул. Ленинская, д. 4</t>
  </si>
  <si>
    <t>Г. Ярцево, ул. Советская, д. 16</t>
  </si>
  <si>
    <t>Г. Ярцево, ул. Советская, д. 18</t>
  </si>
  <si>
    <t>Г. Ярцево, ул. Советская, д. 31</t>
  </si>
  <si>
    <t>Г. Ярцево, ул. Чернышевского, д. 9/8</t>
  </si>
  <si>
    <t>Г. Ярцево, ул. Шоссейная, д. 35</t>
  </si>
  <si>
    <t>2028 год</t>
  </si>
  <si>
    <t>Итого по 2028 году</t>
  </si>
  <si>
    <t>Г. Велиж, ул. Володарского, д. 167</t>
  </si>
  <si>
    <t>Г. Велиж, ул. Еременко, д. 27</t>
  </si>
  <si>
    <t>Г. Велиж, ул. Ивановская, д. 11</t>
  </si>
  <si>
    <t>Г. Велиж, ул. Ивановская, д. 27</t>
  </si>
  <si>
    <t>Г. Велиж, ул. Ивановская, д. 3</t>
  </si>
  <si>
    <t>Г. Велиж, ул. Ивановская, д. 5</t>
  </si>
  <si>
    <t>Г. Велиж, ул. Казанская, д. 12</t>
  </si>
  <si>
    <t>Г. Велиж, ул. Энгельса, д. 14</t>
  </si>
  <si>
    <t>Г. Велиж, ул. Энгельса, д. 7а</t>
  </si>
  <si>
    <t>Г. Вязьма, пер. Загородный, д. 25</t>
  </si>
  <si>
    <t>Г. Вязьма, пр. 25 Октября, д. 2</t>
  </si>
  <si>
    <t>Г. Вязьма, ул. 1-я Садовая, д. 10</t>
  </si>
  <si>
    <t>Г. Вязьма, ул. 2-я Новоторжская, д. 14</t>
  </si>
  <si>
    <t>Г. Вязьма, ул. 2-я Новоторжская, д. 16</t>
  </si>
  <si>
    <t>Г. Вязьма, ул. Восстания, д. 5а</t>
  </si>
  <si>
    <t>Г. Вязьма, ул. Восстания, д. 6</t>
  </si>
  <si>
    <t>Г. Вязьма, ул. Восстания, д. 7</t>
  </si>
  <si>
    <t>Г. Вязьма, ул. Дмитрова гора, д. 2</t>
  </si>
  <si>
    <t>Г. Вязьма, ул. Докучаева, д. 37</t>
  </si>
  <si>
    <t>Г. Вязьма, ул. Кирова, д. 14а</t>
  </si>
  <si>
    <t>Г. Вязьма, ул. Кронштадтская, д. 23</t>
  </si>
  <si>
    <t>Г. Вязьма, ул. Кронштадтская, д. 25</t>
  </si>
  <si>
    <t>Г. Вязьма, ул. Лейтенанта Шмидта, д. 10</t>
  </si>
  <si>
    <t>Г. Вязьма, ул. Лейтенанта Шмидта, д. 12</t>
  </si>
  <si>
    <t>Г. Вязьма, ул. Ленина, д. 53а</t>
  </si>
  <si>
    <t>Г. Вязьма, ул. Ленина, д. 63б</t>
  </si>
  <si>
    <t>Г. Вязьма, ул. Маяковского, д. 2</t>
  </si>
  <si>
    <t>Г. Вязьма, ул. Маяковского, д. 21</t>
  </si>
  <si>
    <t>Г. Вязьма, ул. Московская, д. 15</t>
  </si>
  <si>
    <t>Г. Вязьма, ул. Московская, д. 16</t>
  </si>
  <si>
    <t>Г. Вязьма, ул. Московская, д. 17</t>
  </si>
  <si>
    <t>Г. Вязьма, ул. Московская, д. 18</t>
  </si>
  <si>
    <t>Г. Вязьма, ул. Московская, д. 7</t>
  </si>
  <si>
    <t>Г. Вязьма, ул. Московская, д. 9</t>
  </si>
  <si>
    <t>Г. Вязьма, ул. Панино, д. 17г</t>
  </si>
  <si>
    <t>Г. Вязьма, ул. Парковая, д. 2</t>
  </si>
  <si>
    <t>Г. Вязьма, ул. Плетниковка, д. 1</t>
  </si>
  <si>
    <t>Г. Вязьма, ул. Плетниковка, д. 7</t>
  </si>
  <si>
    <t>Г. Вязьма, ул. Плотникова, д. 15а</t>
  </si>
  <si>
    <t>Г. Вязьма, ул. Полины Осипенко, д. 17</t>
  </si>
  <si>
    <t>Г. Вязьма, ул. Полины Осипенко, д. 19</t>
  </si>
  <si>
    <t>Г. Вязьма, ул. Репина, д. 17</t>
  </si>
  <si>
    <t>Г. Вязьма, ул. Свердлова, д. 10</t>
  </si>
  <si>
    <t>Г. Вязьма, ул. Строителей, д. 10</t>
  </si>
  <si>
    <t>Г. Вязьма, ул. Строителей, д. 4</t>
  </si>
  <si>
    <t>Г. Вязьма, ул. Сычевское шоссе, д. 2а</t>
  </si>
  <si>
    <t>Г. Вязьма, ул. Юбилейная, д. 17</t>
  </si>
  <si>
    <t>Г. Вязьма, ул. Юбилейная, д. 1а</t>
  </si>
  <si>
    <t>Г. Вязьма, ул. Юбилейная, д. 2</t>
  </si>
  <si>
    <t>Г. Вязьма, ул. Юбилейная, д. 21</t>
  </si>
  <si>
    <t>Г. Вязьма, ул. Юбилейная, д. 23</t>
  </si>
  <si>
    <t>Г. Вязьма, ул. Юбилейная, д. 27</t>
  </si>
  <si>
    <t>Г. Вязьма, ул. Юбилейная, д. 29</t>
  </si>
  <si>
    <t>Г. Вязьма, ул. Юбилейная, д. 4</t>
  </si>
  <si>
    <t>Г. Вязьма, ул. Юбилейная, д. 9</t>
  </si>
  <si>
    <t>Дер. Кайдаково, ул. Парковая, д. 5</t>
  </si>
  <si>
    <t>Дер. Кайдаково, ул. Парковая, д. 6</t>
  </si>
  <si>
    <t>Дер. Куртино, ул. Болотная, д. 19</t>
  </si>
  <si>
    <t>Дер. Относово, ул. Школьная, д. 9</t>
  </si>
  <si>
    <t>Дер. Черное, ул. Просвещения, д. 1</t>
  </si>
  <si>
    <t>Пос. Березняки, д. 1</t>
  </si>
  <si>
    <t>Пос. Березняки, д. 2</t>
  </si>
  <si>
    <t>Пос. Березняки, д. 3</t>
  </si>
  <si>
    <t>С. Андрейково, ул. Мира, д. 18</t>
  </si>
  <si>
    <t>С. Бывалицы, ул. Б. Советская, д. 38</t>
  </si>
  <si>
    <t>С. Бывалицы, ул. Мелиоративная, д. 15</t>
  </si>
  <si>
    <t>С. Бывалицы, ул. Мелиоративная, д. 4</t>
  </si>
  <si>
    <t>С. Бывалицы, ул. Мелиоративная, д. 7</t>
  </si>
  <si>
    <t>С. Вязьма-Брянская, ул. Центральная, д. 2</t>
  </si>
  <si>
    <t>С. Вязьма-Брянская, ул. Школьная, д. 2</t>
  </si>
  <si>
    <t>С. Ново-Никольское, д. 17</t>
  </si>
  <si>
    <t>Г. Гагарин, пр. Сельхозтехника, д. 10</t>
  </si>
  <si>
    <t>Г. Гагарин, пр. Сельхозтехника, д. 8</t>
  </si>
  <si>
    <t>Г. Гагарин, ул. 50 лет ВЛКСМ, д. 2/1</t>
  </si>
  <si>
    <t>Г. Гагарин, ул. Гагарина, д. 23</t>
  </si>
  <si>
    <t>Г. Гагарин, ул. Герцена, д. 41</t>
  </si>
  <si>
    <t>Г. Гагарин, ул. Герцена, д. 52</t>
  </si>
  <si>
    <t>Г. Гагарин, ул. Ленина, д. 81</t>
  </si>
  <si>
    <t>Г. Гагарин, ул. Молодежная, д. 2</t>
  </si>
  <si>
    <t>Г. Гагарин, ул. Молодежная, д. 6</t>
  </si>
  <si>
    <t>Г. Гагарин, ул. Петра Алексеева, д. 10</t>
  </si>
  <si>
    <t>Г. Гагарин, ул. Петра Алексеева, д. 12</t>
  </si>
  <si>
    <t>Г. Гагарин, ул. Пушная, д. 4</t>
  </si>
  <si>
    <t>Г. Гагарин, ул. Солнцева, д. 16</t>
  </si>
  <si>
    <t>Г. Гагарин, ул. Строителей, д. 6</t>
  </si>
  <si>
    <t>Г. Гагарин, ул. Строителей, д. 86</t>
  </si>
  <si>
    <t>Дер. Клушино, ул. Молодежная, д. 3</t>
  </si>
  <si>
    <t>Дер. Клушино, ул. Молодежная, д. 4</t>
  </si>
  <si>
    <t>Дер. Клушино, ул. Молодежная, д. 8</t>
  </si>
  <si>
    <t>Дер. Мамоново, ул. Центральная, д. 2</t>
  </si>
  <si>
    <t>Дер. Никольское, ул. Центральная, д. 12</t>
  </si>
  <si>
    <t>Дер. Никольское, ул. Центральная, д. 14</t>
  </si>
  <si>
    <t>Дер. Никольское, ул. Центральная, д. 16</t>
  </si>
  <si>
    <t>Дер. Покров, ул. Центральная, д. 17</t>
  </si>
  <si>
    <t>Дер. Покров, ул. Центральная, д. 23</t>
  </si>
  <si>
    <t>Дер. Родоманово, ул. Мира, д. 1</t>
  </si>
  <si>
    <t>Дер. Родоманово, ул. Новая, д. 1</t>
  </si>
  <si>
    <t>Дер. Родоманово, ул. Советская, д. 5</t>
  </si>
  <si>
    <t>Пос. Благодатное, д. 11</t>
  </si>
  <si>
    <t>С. Карманово, ул. Пролетарская, д. 9</t>
  </si>
  <si>
    <t>С. Карманово, ул. Самохина, д. 7</t>
  </si>
  <si>
    <t>С. Карманово, ул. Советская, д. 44</t>
  </si>
  <si>
    <t>С. Карманово, ул. Советская, д. 50</t>
  </si>
  <si>
    <t>С. Пречистое, ул. Парковая, д. 2</t>
  </si>
  <si>
    <t>С. Пречистое, ул. Центральная, д. 2</t>
  </si>
  <si>
    <t>С. Пречистое, ул. Центральная, д. 4</t>
  </si>
  <si>
    <t>С. Пречистое, ул. Центральная, д. 5</t>
  </si>
  <si>
    <t>С. Серго-Ивановское, ул. Заводская, д. 8</t>
  </si>
  <si>
    <t>С. Глинка, ул. Ленина, д. 16</t>
  </si>
  <si>
    <t>Г. Демидов, пр. Суворовский, д. 10</t>
  </si>
  <si>
    <t>Г. Демидов, пр. Суворовский, д. 6</t>
  </si>
  <si>
    <t>Г. Демидов, ул. Коммунистическая, д. 23</t>
  </si>
  <si>
    <t>Г. Демидов, ул. Фрадкова, д. 19</t>
  </si>
  <si>
    <t>Пгт Верхнеднепровский, ул. Ленина, д. 17</t>
  </si>
  <si>
    <t>Г. Духовщина, ул. Бугаева, д. 45</t>
  </si>
  <si>
    <t>Г. Духовщина, ул. Глинки, д. 10</t>
  </si>
  <si>
    <t>Г. Духовщина, ул. Исаковского, д. 47</t>
  </si>
  <si>
    <t>Г. Духовщина, ул. Карла Либкнехта, д. 54</t>
  </si>
  <si>
    <t>Г. Духовщина, ул. Луначарского, д. 13</t>
  </si>
  <si>
    <t>Г. Духовщина, ул. Смоленская, д. 49</t>
  </si>
  <si>
    <t>Г. Духовщина, ул. Смоленская, д. 53</t>
  </si>
  <si>
    <t>Г. Духовщина, ул. Смоленская, д. 55/40</t>
  </si>
  <si>
    <t>Г. Духовщина, ул. Смоленская, д. 56</t>
  </si>
  <si>
    <t>Г. Духовщина, ул. Смоленская, д. 65/14</t>
  </si>
  <si>
    <t>Пгт Озерный, ст. Сошно, д. 1</t>
  </si>
  <si>
    <t>Пгт Озерный, ул. Ленина, д. 9/1</t>
  </si>
  <si>
    <t>Пгт Озерный, ул. Парковая, д. 3</t>
  </si>
  <si>
    <t>Г. Ельня, ул. Гвардейская, д. 75</t>
  </si>
  <si>
    <t>Г. Ельня, ул. Говорова, д. 10</t>
  </si>
  <si>
    <t>Г. Ельня, ул. Говорова, д. 13</t>
  </si>
  <si>
    <t>Г. Ельня, ул. Интернациональная, д. 42</t>
  </si>
  <si>
    <t>Г. Ельня, ул. Капитанова, д. 37</t>
  </si>
  <si>
    <t>Г. Ельня, ул. Капитанова, д. 40</t>
  </si>
  <si>
    <t>Г. Ельня, ул. Молодежная, д. 6</t>
  </si>
  <si>
    <t>Г. Ельня, ул. Советская, д. 67</t>
  </si>
  <si>
    <t>Г. Ельня, ул. Строительная, д. 2</t>
  </si>
  <si>
    <t>С. Ершичи, ул. Луговая, д. 4</t>
  </si>
  <si>
    <t>Дер. Каменка, ул. Магистральная, д. 3</t>
  </si>
  <si>
    <t>Дер. Каменка, ул. Магистральная, д. 6/2</t>
  </si>
  <si>
    <t>Дер. Каменка, ул. Центральная, д. 14</t>
  </si>
  <si>
    <t>Дер. Каменка, ул. Центральная, д. 16</t>
  </si>
  <si>
    <t>Дер. Титково, ул. Центральная, д. 36</t>
  </si>
  <si>
    <t>Дер. Титково, ул. Центральная, д. 38</t>
  </si>
  <si>
    <t>Дер. Тюшино, ул. Цветочная, д. 10</t>
  </si>
  <si>
    <t>Дер. Тюшино, ул. Цветочная, д. 8</t>
  </si>
  <si>
    <t>Дер. Тюшино, ул. Цветочная, д. 9</t>
  </si>
  <si>
    <t>Дер. Тюшино, ул. Центральная, д. 87</t>
  </si>
  <si>
    <t>Дер. Тюшино, ул. Центральная, д. 89</t>
  </si>
  <si>
    <t>Дер. Тюшино, ул. Центральная, д. 90</t>
  </si>
  <si>
    <t>Пгт Кардымово, ул. Ленина, д. 45</t>
  </si>
  <si>
    <t>Пгт Кардымово, ул. Ленина, д. 47</t>
  </si>
  <si>
    <t>Пгт Кардымово, ул. Октябрьская, д. 16</t>
  </si>
  <si>
    <t>Пгт Кардымово, ул. Советская, д. 24</t>
  </si>
  <si>
    <t>Ст. Духовская, ул. Железнодорожная, д. 4</t>
  </si>
  <si>
    <t>Ст. Духовская, ул. Железнодорожная, д. 5</t>
  </si>
  <si>
    <t>Дер. Белеи, ул. Центральная, д. 10</t>
  </si>
  <si>
    <t>Пгт Красный, пер. Строителей, д. 2</t>
  </si>
  <si>
    <t>Пгт Красный, пер. Строителей, д. 4</t>
  </si>
  <si>
    <t>Пгт Красный, пер. Строителей, д. 5а</t>
  </si>
  <si>
    <t>Пгт Красный, пер. Строителей, д. 6а</t>
  </si>
  <si>
    <t>Пгт Красный, ул. Глинки, д. 1</t>
  </si>
  <si>
    <t>Пгт Красный, ул. Глинки, д. 18</t>
  </si>
  <si>
    <t>Пгт Красный, ул. Глинки, д. 18а</t>
  </si>
  <si>
    <t>Пгт Красный, ул. Глинки, д. 20</t>
  </si>
  <si>
    <t>Пгт Красный, ул. Глинки, д. 2а</t>
  </si>
  <si>
    <t>Пгт Красный, ул. Глинки, д. 3</t>
  </si>
  <si>
    <t>Пгт Красный, ул. Советская, д. 36</t>
  </si>
  <si>
    <t>Дер. Любавичи, д. 33</t>
  </si>
  <si>
    <t>Пгт Монастырщина, ул. Мира, д. 10а</t>
  </si>
  <si>
    <t>Пгт Монастырщина, ул. Мира, д. 6</t>
  </si>
  <si>
    <t>Пгт Монастырщина, ул. Мира, д. 8</t>
  </si>
  <si>
    <t>Пгт Монастырщина, ул. Советская, д. 1/15</t>
  </si>
  <si>
    <t>Пос. Турковского Торфопредприятия, д. 4</t>
  </si>
  <si>
    <t>Дер. Бурцево, д. 50 (8-квартирный)</t>
  </si>
  <si>
    <t>С. Новодугино, ул. Чкалова, д. 29</t>
  </si>
  <si>
    <t>Г. Починок, мкрн. Ёлки, д. 198</t>
  </si>
  <si>
    <t>Г. Починок, пер. 2-й Советский, д. 7</t>
  </si>
  <si>
    <t>Г. Починок, пер. Терешковой, д. 16</t>
  </si>
  <si>
    <t>Г. Починок, пер. Терешковой, д. 18</t>
  </si>
  <si>
    <t>Г. Починок, ул. Кирова, д. 14</t>
  </si>
  <si>
    <t>Г. Починок, ул. Кирова, д. 16</t>
  </si>
  <si>
    <t>Г. Починок, ул. Красноармейская, д. 62</t>
  </si>
  <si>
    <t>Г. Починок, ул. Красноармейская, д. 62а</t>
  </si>
  <si>
    <t>Г. Починок, ул. Красноармейская, д. 64</t>
  </si>
  <si>
    <t>Г. Починок, ул. Красноармейская, д. 66</t>
  </si>
  <si>
    <t>Г. Починок, ул. Красноармейская, д. 68</t>
  </si>
  <si>
    <t>Г. Починок, ул. Советская, д. 65</t>
  </si>
  <si>
    <t>Г. Починок, ул. Урицкого, д. 49</t>
  </si>
  <si>
    <t>Дер. Денисово, д. 2/4</t>
  </si>
  <si>
    <t>Дер. Денисово, д. 2/5</t>
  </si>
  <si>
    <t>Дер. Денисово, д. 2/6</t>
  </si>
  <si>
    <t>Дер. Мачулы, д. 87</t>
  </si>
  <si>
    <t>Дер. Плоское, д. 19</t>
  </si>
  <si>
    <t>Дер. Плоское, д. 20</t>
  </si>
  <si>
    <t>Дер. Прудки, ул. Пригорская, д. 1</t>
  </si>
  <si>
    <t>Дер. Сяковка, д. 2</t>
  </si>
  <si>
    <t>Дер. Сяковка, д. 3</t>
  </si>
  <si>
    <t>Дер. Сяковка, д. 4</t>
  </si>
  <si>
    <t>Пос. Стодолище, ул. Советская, д. 88а</t>
  </si>
  <si>
    <t>Пос. Стодолище, ул. Советская, д. 88б</t>
  </si>
  <si>
    <t>Пос. Шаталово-1, д. 392</t>
  </si>
  <si>
    <t>Пос. Шаталово-1, д. 393</t>
  </si>
  <si>
    <t>Пос. Шаталово-1, д. 394</t>
  </si>
  <si>
    <t>Пос. Шаталово-1, д. 395</t>
  </si>
  <si>
    <t>Пос. Шаталово-1, д. 396</t>
  </si>
  <si>
    <t>Г. Рославль, мкрн. 16, д. 20</t>
  </si>
  <si>
    <t>Г. Рославль, пер. 1-й Дачный, д. 3</t>
  </si>
  <si>
    <t>Г. Рославль, пер. Орджоникидзе, д. 2</t>
  </si>
  <si>
    <t>Г. Рославль, пос. Стеклозавода, д. 1</t>
  </si>
  <si>
    <t>Г. Рославль, ул. 1-я Межевая, д. 3</t>
  </si>
  <si>
    <t>Г. Рославль, ул. 2-я Дачная, д. 13а</t>
  </si>
  <si>
    <t>Г. Рославль, ул. Карла Маркса, д. 3</t>
  </si>
  <si>
    <t>Г. Рославль, ул. Урицкого, д. 14а</t>
  </si>
  <si>
    <t>Г. Рославль, ул. Чехова, д. 4</t>
  </si>
  <si>
    <t>Г. Рославль, ул. Энгельса, д. 13</t>
  </si>
  <si>
    <t>Г. Рославль, ул. Энгельса, д. 9</t>
  </si>
  <si>
    <t>Дер. Астапковичи, ул. Школьная, д. 2</t>
  </si>
  <si>
    <t>Дер. Астапковичи, ул. Школьная, д. 3</t>
  </si>
  <si>
    <t>Дер. Коски, ул. Центральная, д. 1</t>
  </si>
  <si>
    <t>Дер. Коски, ул. Центральная, д. 2</t>
  </si>
  <si>
    <t>Дер. Коски, ул. Центральная, д. 3</t>
  </si>
  <si>
    <t>Дер. Крапивна, ул. Шоссейная, д. 1</t>
  </si>
  <si>
    <t>Дер. Крапивна, ул. Шоссейная, д. 3</t>
  </si>
  <si>
    <t>Дер. Никольское, ул. Мира, д. 9</t>
  </si>
  <si>
    <t>Дер. Перенка, д. 20</t>
  </si>
  <si>
    <t>Дер. Чижовка-2, ул. Центральная, д. 18</t>
  </si>
  <si>
    <t>Пос. Льнозавода, д. 20</t>
  </si>
  <si>
    <t>Пос. Льнозавода, д. 22</t>
  </si>
  <si>
    <t>Г. Рудня, ул. Мелиораторов, д. 31</t>
  </si>
  <si>
    <t>Дер. Березино, ул. Мира, д. 29</t>
  </si>
  <si>
    <t>Дер. Березино, ул. Мира, д. 29а</t>
  </si>
  <si>
    <t>Дер. Березино, ул. Центральная, д. 12</t>
  </si>
  <si>
    <t>Дер. Березино, ул. Центральная, д. 16</t>
  </si>
  <si>
    <t>Дер. Гранки, пер. Школьный, д. 10</t>
  </si>
  <si>
    <t>Дер. Смолиговка, ул. Калинина, д. 23</t>
  </si>
  <si>
    <t>Дер. Стаи, ул. Первомайская, д. 22</t>
  </si>
  <si>
    <t>Дер. Сташки, ул. Молодежная, д. 3</t>
  </si>
  <si>
    <t>Дер. Сташки, ул. Молодежная, д. 5</t>
  </si>
  <si>
    <t>Дер. Чистик, ул. Комсомольская, д. 24</t>
  </si>
  <si>
    <t>Дер. Чистик, ул. Комсомольская, д. 9</t>
  </si>
  <si>
    <t>Дер. Чистик, ул. Луговая, д. 2</t>
  </si>
  <si>
    <t>Дер. Чистик, ул. Луговая, д. 4</t>
  </si>
  <si>
    <t>Дер. Чистик, ул. Луговая, д. 6</t>
  </si>
  <si>
    <t>Пгт Голынки, ул. Коммунистическая, д. 2</t>
  </si>
  <si>
    <t>Пгт Голынки, ул. Ленина, д. 1</t>
  </si>
  <si>
    <t>Г. Сафоново, микрорайон-2, д. 9</t>
  </si>
  <si>
    <t>Г. Сафоново, ул. Красноармейская, д. 1а</t>
  </si>
  <si>
    <t>Г. Сафоново, ул. Первомайская, д. 63</t>
  </si>
  <si>
    <t>Дер. Вышегор, ул. Мира, д. 3</t>
  </si>
  <si>
    <t>С. Издешково, ул. 2-я Ленинская, д. 11а</t>
  </si>
  <si>
    <t>С. Издешково, ул. 2-я Ленинская, д. 7б</t>
  </si>
  <si>
    <t>С. Издешково, ул. 2-я Ленинская, д. 9а</t>
  </si>
  <si>
    <t>Г. Смоленск, мкрн. Южный, д. 29а</t>
  </si>
  <si>
    <t>Г. Смоленск, мкрн. Южный, д. 29в</t>
  </si>
  <si>
    <t>Г. Смоленск, мкрн. Южный, д. 39в</t>
  </si>
  <si>
    <t>Г. Смоленск, пер. 1-й Мичуринский, д. 4а</t>
  </si>
  <si>
    <t>Г. Смоленск, пер. 1-й Мичуринский, д. 4б</t>
  </si>
  <si>
    <t>Г. Смоленск, пер. 2-й Краснинский, д. 8</t>
  </si>
  <si>
    <t>Г. Смоленск, пер. 4-й Краснофлотский, д. 3</t>
  </si>
  <si>
    <t>Г. Смоленск, пер. 5-й Краснофлотский, д. 3</t>
  </si>
  <si>
    <t>Г. Смоленск, пер. Госпитальный, д. 7</t>
  </si>
  <si>
    <t>Г. Смоленск, пер. Станционный, д. 14</t>
  </si>
  <si>
    <t>Г. Смоленск, пер. Хлебозаводской, д. 9</t>
  </si>
  <si>
    <t>Г. Смоленск, пос. 430 км, д. 15</t>
  </si>
  <si>
    <t>Г. Смоленск, пос. Миловидово, д. 6</t>
  </si>
  <si>
    <t>Г. Смоленск, просп. Строителей, д. 12</t>
  </si>
  <si>
    <t>Г. Смоленск, просп. Строителей, д. 14а</t>
  </si>
  <si>
    <t>Г. Смоленск, просп. Строителей, д. 14б</t>
  </si>
  <si>
    <t>Г. Смоленск, просп. Строителей, д. 14в</t>
  </si>
  <si>
    <t>Г. Смоленск, просп. Строителей, д. 20</t>
  </si>
  <si>
    <t>Г. Смоленск, просп. Строителей, д. 6</t>
  </si>
  <si>
    <t>Г. Смоленск, просп. Строителей, д. 8б</t>
  </si>
  <si>
    <t>Г. Смоленск, просп. Строителей, д. 8в</t>
  </si>
  <si>
    <t>Г. Смоленск, ул. 12 лет Октября, д. 7</t>
  </si>
  <si>
    <t>Г. Смоленск, ул. 12 лет Октября, д. 7в</t>
  </si>
  <si>
    <t>Г. Смоленск, ул. 25 Сентября, д. 48</t>
  </si>
  <si>
    <t>Г. Смоленск, ул. 25 Сентября, д. 52</t>
  </si>
  <si>
    <t>Г. Смоленск, ул. 25 Сентября, д. 7</t>
  </si>
  <si>
    <t>Г. Смоленск, ул. 2-я Краснинская, д. 9</t>
  </si>
  <si>
    <t>Г. Смоленск, ул. 4-я Загорная, д. 15</t>
  </si>
  <si>
    <t>Г. Смоленск, ул. Автозаводская, д. 21</t>
  </si>
  <si>
    <t>Г. Смоленск, ул. Академика Петрова, д. 4</t>
  </si>
  <si>
    <t>Г. Смоленск, ул. Академика Петрова, д. 4а</t>
  </si>
  <si>
    <t>Г. Смоленск, ул. Багратиона, д. 5</t>
  </si>
  <si>
    <t>Г. Смоленск, ул. Багратиона, д. 55а</t>
  </si>
  <si>
    <t>Г. Смоленск, ул. Багратиона, д. 57б</t>
  </si>
  <si>
    <t>Г. Смоленск, ул. Багратиона, д. 9</t>
  </si>
  <si>
    <t>Г. Смоленск, ул. Беляева, д. 45</t>
  </si>
  <si>
    <t>Г. Смоленск, ул. Брестская, д. 4</t>
  </si>
  <si>
    <t>Г. Смоленск, ул. Гарабурды, д. 17б</t>
  </si>
  <si>
    <t>Г. Смоленск, ул. Госпитальная, д. 27</t>
  </si>
  <si>
    <t>Г. Смоленск, ул. Губенко, д. 2</t>
  </si>
  <si>
    <t>Г. Смоленск, ул. Губенко, д. 2а</t>
  </si>
  <si>
    <t>Г. Смоленск, ул. Карбышева, д. 10</t>
  </si>
  <si>
    <t>Г. Смоленск, ул. Карбышева, д. 11</t>
  </si>
  <si>
    <t>Г. Смоленск, ул. Карбышева, д. 12</t>
  </si>
  <si>
    <t>Г. Смоленск, ул. Кирова, д. 25б</t>
  </si>
  <si>
    <t>Г. Смоленск, ул. Кирова, д. 25в</t>
  </si>
  <si>
    <t>Г. Смоленск, ул. Кирова, д. 27а</t>
  </si>
  <si>
    <t>Г. Смоленск, ул. Кирова, д. 29а</t>
  </si>
  <si>
    <t>Г. Смоленск, ул. Кирова, д. 31а</t>
  </si>
  <si>
    <t>Г. Смоленск, ул. Кирова, д. 36</t>
  </si>
  <si>
    <t>Г. Смоленск, ул. Кирова, д. 41</t>
  </si>
  <si>
    <t>Г. Смоленск, ул. Кирова, д. 55а</t>
  </si>
  <si>
    <t>Г. Смоленск, ул. Котовского, д. 5а</t>
  </si>
  <si>
    <t>Г. Смоленск, ул. Котовского, д. 5б</t>
  </si>
  <si>
    <t>Г. Смоленск, ул. Котовского, д. 23</t>
  </si>
  <si>
    <t>Г. Смоленск, ул. Крупской, д. 30</t>
  </si>
  <si>
    <t>Г. Смоленск, ул. Крупской, д. 32</t>
  </si>
  <si>
    <t>Г. Смоленск, ул. Крупской, д. 34</t>
  </si>
  <si>
    <t>Г. Смоленск, ул. Крупской, д. 44а</t>
  </si>
  <si>
    <t>Г. Смоленск, ул. Крупской, д. 60</t>
  </si>
  <si>
    <t>Г. Смоленск, ул. Куйбышева, д. 4</t>
  </si>
  <si>
    <t>Г. Смоленск, ул. Куйбышева, д. 10</t>
  </si>
  <si>
    <t>Г. Смоленск, ул. Лавочкина, д. 38</t>
  </si>
  <si>
    <t>Г. Смоленск, ул. Лавочкина, д. 46</t>
  </si>
  <si>
    <t>Г. Смоленск, ул. Лавочкина, д. 48</t>
  </si>
  <si>
    <t>Г. Смоленск, ул. Лавочкина, д. 49</t>
  </si>
  <si>
    <t>Г. Смоленск, ул. Лавочкина, д. 51/1</t>
  </si>
  <si>
    <t>Г. Смоленск, ул. Лавочкина, д. 52а</t>
  </si>
  <si>
    <t>Г. Смоленск, ул. Марии Октябрьской, д. 12</t>
  </si>
  <si>
    <t>Г. Смоленск, ул. Маяковского, д. 5а</t>
  </si>
  <si>
    <t>Г. Смоленск, ул. Нарвская, д. 17</t>
  </si>
  <si>
    <t>Г. Смоленск, ул. Нахимова, д. 18</t>
  </si>
  <si>
    <t>Г. Смоленск, ул. Николаева, д. 13</t>
  </si>
  <si>
    <t>Г. Смоленск, ул. Николаева, д. 29</t>
  </si>
  <si>
    <t>Г. Смоленск, ул. Николаева, д. 46</t>
  </si>
  <si>
    <t>Г. Смоленск, ул. Николаева, д. 63</t>
  </si>
  <si>
    <t>Г. Смоленск, ул. Нормандия-Неман, д. 1</t>
  </si>
  <si>
    <t>Г. Смоленск, ул. Нормандия-Неман, д. 4</t>
  </si>
  <si>
    <t>Г. Смоленск, ул. Нормандия-Неман, д. 6</t>
  </si>
  <si>
    <t>Г. Смоленск, ул. Нормандия-Неман, д. 8</t>
  </si>
  <si>
    <t>Г. Смоленск, ул. Озерная, д. 2</t>
  </si>
  <si>
    <t>Г. Смоленск, ул. Озерная, д. 4</t>
  </si>
  <si>
    <t>Г. Смоленск, ул. Островского, д. 5</t>
  </si>
  <si>
    <t>Г. Смоленск, ул. Памфилова, д. 7</t>
  </si>
  <si>
    <t>Г. Смоленск, ул. Памфилова, д. 9</t>
  </si>
  <si>
    <t>Г. Смоленск, ул. Петра Алексеева, д. 3</t>
  </si>
  <si>
    <t>Г. Смоленск, ул. Полины Осипенко, д. 40</t>
  </si>
  <si>
    <t>Г. Смоленск, ул. Попова, д. 34</t>
  </si>
  <si>
    <t>Г. Смоленск, ул. Попова, д. 36</t>
  </si>
  <si>
    <t>Г. Смоленск, ул. Попова, д. 38</t>
  </si>
  <si>
    <t>Г. Смоленск, ул. Радищева, д. 4</t>
  </si>
  <si>
    <t>Г. Смоленск, ул. Раевского, д. 4а</t>
  </si>
  <si>
    <t>Г. Смоленск, ул. Раевского, д. 6</t>
  </si>
  <si>
    <t>Г. Смоленск, ул. Раевского, д. 8</t>
  </si>
  <si>
    <t>Г. Смоленск, ул. Румянцева, д. 1</t>
  </si>
  <si>
    <t>Г. Смоленск, ул. Румянцева, д. 11</t>
  </si>
  <si>
    <t>Г. Смоленск, ул. Румянцева, д. 15</t>
  </si>
  <si>
    <t>Г. Смоленск, ул. Рыленкова, д. 11</t>
  </si>
  <si>
    <t>Г. Смоленск, ул. Рыленкова, д. 13</t>
  </si>
  <si>
    <t>Г. Смоленск, ул. Рыленкова, д. 3</t>
  </si>
  <si>
    <t>Г. Смоленск, ул. Рыленкова, д. 4</t>
  </si>
  <si>
    <t>Г. Смоленск, ул. Рыленкова, д. 4а</t>
  </si>
  <si>
    <t>Г. Смоленск, ул. Рыленкова, д. 4б</t>
  </si>
  <si>
    <t>Г. Смоленск, ул. Рыленкова, д. 4в</t>
  </si>
  <si>
    <t>Г. Смоленск, ул. Рыленкова, д. 5</t>
  </si>
  <si>
    <t>Г. Смоленск, ул. Рыленкова, д. 9</t>
  </si>
  <si>
    <t>Г. Смоленск, ул. Седова, д. 17</t>
  </si>
  <si>
    <t>Г. Смоленск, ул. Седова, д. 22</t>
  </si>
  <si>
    <t>Г. Смоленск, ул. Соболева, д. 109б</t>
  </si>
  <si>
    <t>Г. Смоленск, ул. Станционная, д. 8б</t>
  </si>
  <si>
    <t>Г. Смоленск, ул. Твардовского, д. 2</t>
  </si>
  <si>
    <t>Г. Смоленск, ул. Твардовского, д. 20</t>
  </si>
  <si>
    <t>Г. Смоленск, ул. Твардовского, д. 6б</t>
  </si>
  <si>
    <t>Г. Смоленск, ул. Фрунзе, д. 20</t>
  </si>
  <si>
    <t>Г. Смоленск, ул. Фрунзе, д. 42</t>
  </si>
  <si>
    <t>Г. Смоленск, ул. Фрунзе, д. 64</t>
  </si>
  <si>
    <t>Г. Смоленск, ул. Фурманова, д. 45</t>
  </si>
  <si>
    <t>Г. Смоленск, ул. Чернышевского, д. 1</t>
  </si>
  <si>
    <t>Г. Смоленск, ул. Чернышевского, д. 5</t>
  </si>
  <si>
    <t>Г. Смоленск, ул. Черняховского, д. 28</t>
  </si>
  <si>
    <t>Г. Смоленск, ул. Черняховского, д. 32</t>
  </si>
  <si>
    <t>Г. Смоленск, ул. Черняховского, д. 34</t>
  </si>
  <si>
    <t>Г. Смоленск, ул. Черняховского, д. 36</t>
  </si>
  <si>
    <t>Г. Смоленск, ул. Шевченко, д. 67а</t>
  </si>
  <si>
    <t>Г. Смоленск, ул. Шевченко, д. 71</t>
  </si>
  <si>
    <t>Г. Смоленск, ул. Шевченко, д. 73</t>
  </si>
  <si>
    <t>Г. Смоленск, ул. Шевченко, д. 87</t>
  </si>
  <si>
    <t>Г. Смоленск, ул. Щорса, д. 1</t>
  </si>
  <si>
    <t>Г. Смоленск, ул. Юрьева, д. 15</t>
  </si>
  <si>
    <t>Дер. Богородицкое, ул. Викторова, д. 17</t>
  </si>
  <si>
    <t>Дер. Богородицкое, ул. Викторова, д. 18</t>
  </si>
  <si>
    <t>Дер. Богородицкое, ул. Викторова, д. 19</t>
  </si>
  <si>
    <t>Дер. Бубново, ул. Почтовая, д. 2</t>
  </si>
  <si>
    <t>Дер. Михновка, ул. Молодежная, д. 5</t>
  </si>
  <si>
    <t>Дер. Михновка, ул. Молодежная, д. 7</t>
  </si>
  <si>
    <t>Дер. Мощинки, ул. Садовая, д. 4</t>
  </si>
  <si>
    <t>Дер. Мощинки, ул. Садовая, д. 5</t>
  </si>
  <si>
    <t>Дер. Новые Батеки, ул. Школьная, д. 16</t>
  </si>
  <si>
    <t>Дер. Новые Батеки, ул. Школьная, д. 17</t>
  </si>
  <si>
    <t>Дер. Новые Батеки, ул. Школьная, д. 17а</t>
  </si>
  <si>
    <t>Дер. Профилакторий Кристалл, д. 1</t>
  </si>
  <si>
    <t>Дер. Рай, ул. Парковая, д. 10</t>
  </si>
  <si>
    <t>Дер. Рай, ул. Парковая, д. 12</t>
  </si>
  <si>
    <t>Дер. Рай, ул. Парковая, д. 14</t>
  </si>
  <si>
    <t>Дер. Санаторий Борок, д. 1</t>
  </si>
  <si>
    <t>Дер. Сметанино, ул. Ветеранов, д. 11</t>
  </si>
  <si>
    <t>Дер. Сметанино, ул. Ветеранов, д. 8</t>
  </si>
  <si>
    <t>Дер. Сметанино, ул. Липатенкова, д. 6</t>
  </si>
  <si>
    <t>Дер. Хохлово, ул. Мира, д. 8</t>
  </si>
  <si>
    <t>Пос. Автозаправочной станции, д. 3</t>
  </si>
  <si>
    <t>Пос. Авторемзавод, д. 4</t>
  </si>
  <si>
    <t>Пос. Гедеоновка, д. 15</t>
  </si>
  <si>
    <t>С. Каспля-1, ул. Советская, д. 19</t>
  </si>
  <si>
    <t>С. Печерск, ул. Автодорожная, д. 6</t>
  </si>
  <si>
    <t>С. Талашкино, ул. Ленина, д. 13</t>
  </si>
  <si>
    <t>С. Талашкино, ул. Ленина, д. 9</t>
  </si>
  <si>
    <t>С. Талашкино, ул. Ленина, д. 9а</t>
  </si>
  <si>
    <t>С. Талашкино, ул. Садовая, д. 2</t>
  </si>
  <si>
    <t>Г. Сычевка, ул. Григорьева, д. 18</t>
  </si>
  <si>
    <t>Г. Сычевка, ул. Карла Маркса, д. 15</t>
  </si>
  <si>
    <t>Г. Сычевка, ул. Красноармейская, д. 82а</t>
  </si>
  <si>
    <t>Г. Сычевка, ул. Ломоносова, д. 18</t>
  </si>
  <si>
    <t>Г. Сычевка, ул. СПТУ-27, д. 3</t>
  </si>
  <si>
    <t>Г. Сычевка, ул. СПТУ-27, д. 4</t>
  </si>
  <si>
    <t>С. Угра, мкрн. ДОЗ, д. 14</t>
  </si>
  <si>
    <t>С. Угра, ул. Ленина, д. 46</t>
  </si>
  <si>
    <t>С. Угра, ул. Ленина, д. 48</t>
  </si>
  <si>
    <t>С. Угра, ул. Ленина, д. 60</t>
  </si>
  <si>
    <t>С. Угра, ул. Парковая, д. 9</t>
  </si>
  <si>
    <t>Пгт Хиславичи, ул. Молодежная, д. 3</t>
  </si>
  <si>
    <t>Пгт Хиславичи, ул. Молодежная, д. 4</t>
  </si>
  <si>
    <t>Пгт Хиславичи, ул. Советская, д. 20</t>
  </si>
  <si>
    <t>Пгт Хиславичи, ул. Советская, д. 41</t>
  </si>
  <si>
    <t>Пгт Холм-Жирковский, ул. Ленина, д. 4</t>
  </si>
  <si>
    <t>С. Нахимовское, пер. Михайловский, д. 1</t>
  </si>
  <si>
    <t>Пгт Шумячи, ул. Сельхозтехника, д. 3</t>
  </si>
  <si>
    <t>Пгт Шумячи, ул. Сельхозтехника, д. 5</t>
  </si>
  <si>
    <t>Пгт Шумячи, ул. Сельхозтехника, д. 8</t>
  </si>
  <si>
    <t>Пгт Шумячи, ул. Советская, д. 85</t>
  </si>
  <si>
    <t>С. Первомайский, пер. Советский, д. 14</t>
  </si>
  <si>
    <t>Г. Ярцево, просп. Металлургов, д. 3</t>
  </si>
  <si>
    <t>Г. Ярцево, ул. Дачная, д. 22</t>
  </si>
  <si>
    <t>Г. Ярцево, ул. Заозерная, д. 2а</t>
  </si>
  <si>
    <t>Г. Ярцево, ул. Карла Маркса, д. 11а</t>
  </si>
  <si>
    <t>Г. Ярцево, ул. ЛММС, д. 2</t>
  </si>
  <si>
    <t>Г. Ярцево, ул. Макаренко, д. 8</t>
  </si>
  <si>
    <t>Г. Ярцево, ул. Максима Горького, д. 26</t>
  </si>
  <si>
    <t>Г. Ярцево, ул. Максима Горького, д. 28/1</t>
  </si>
  <si>
    <t>Г. Ярцево, ул. Максима Горького, д. 28/2</t>
  </si>
  <si>
    <t>Г. Ярцево, ул. Максима Горького, д. 28/4</t>
  </si>
  <si>
    <t>Г. Ярцево, ул. Максима Горького, д. 38</t>
  </si>
  <si>
    <t>Г. Ярцево, ул. Маршала Жукова, д. 6</t>
  </si>
  <si>
    <t>Г. Ярцево, ул. Маршала Жукова, д. 9</t>
  </si>
  <si>
    <t>Г. Ярцево, ул. Милохово, д. 1</t>
  </si>
  <si>
    <t>Г. Ярцево, ул. Милохово, д. 2</t>
  </si>
  <si>
    <t>Г. Ярцево, ул. Прохорова, д. 13</t>
  </si>
  <si>
    <t>Г. Ярцево, ул. Смоленская, д. 27/26</t>
  </si>
  <si>
    <t>Г. Ярцево, ул. Советская, д. 29</t>
  </si>
  <si>
    <t>Г. Ярцево, ул. Солнечная, д. 1</t>
  </si>
  <si>
    <t>Г. Ярцево, ул. Солнечная, д. 3/1</t>
  </si>
  <si>
    <t>Г. Ярцево, ул. Солнечная, д. 3/2</t>
  </si>
  <si>
    <t>Г. Ярцево, ул. Солнечная, д. 3/3</t>
  </si>
  <si>
    <t>Г. Ярцево, ул. Солнечная, д. 3/4</t>
  </si>
  <si>
    <t>Г. Ярцево, ул. Строителей, д. 4</t>
  </si>
  <si>
    <t>Г. Ярцево, ул. Чернышевского, д. 1</t>
  </si>
  <si>
    <t>Г. Ярцево, ул. Школьная, д. 2</t>
  </si>
  <si>
    <t>Г. Ярцево, ул. Школьная, д. 7</t>
  </si>
  <si>
    <t>Г. Ярцево, ул. Шоссейная, д. 23</t>
  </si>
  <si>
    <t>Г. Ярцево, ул. Шоссейная, д. 29</t>
  </si>
  <si>
    <t>Г. Ярцево, ул. Шоссейная, д. 31</t>
  </si>
  <si>
    <t>Г. Ярцево, ул. Шоссейная, д. 37</t>
  </si>
  <si>
    <t>Дер. Капыревщина, ул. Мира, д. 12</t>
  </si>
  <si>
    <t>Дер. Капыревщина, ул. Славы, д. 4</t>
  </si>
  <si>
    <t>Дер. Капыревщина, ул. Славы, д. 6</t>
  </si>
  <si>
    <t>Дер. Михейково, ул. Луговая, д. 13</t>
  </si>
  <si>
    <t>Дер. Михейково, ул. Юбилейная, д. 1</t>
  </si>
  <si>
    <t>Дер. Михейково, ул. Юбилейная, д. 10</t>
  </si>
  <si>
    <t>Дер. Михейково, ул. Юбилейная, д. 8</t>
  </si>
  <si>
    <t>Дер. Клинка, ул. Школьная, д. 6</t>
  </si>
  <si>
    <t>Г. Сафоново, ул. Советская, д. 39</t>
  </si>
  <si>
    <t>С. Андрейково, ул. Мира, д. 8</t>
  </si>
  <si>
    <t>Г. Велиж, ул. Кропоткина, д. 23/13</t>
  </si>
  <si>
    <t>Г. Вязьма, пр. 25 Октября, д. 4</t>
  </si>
  <si>
    <t>Г. Вязьма, ул. Ленина, д. 10</t>
  </si>
  <si>
    <t>Г. Вязьма, ул. Ленина, д. 6</t>
  </si>
  <si>
    <t>Г. Вязьма, ул. Молодежная, д. 9</t>
  </si>
  <si>
    <t>Г. Вязьма, ул. Московская, д. 10</t>
  </si>
  <si>
    <t>Г. Гагарин, ул. Матросова, д. 9</t>
  </si>
  <si>
    <t>г. Духовщина, ул. Смоленская, д. 57/13</t>
  </si>
  <si>
    <t>г. Ельня, ул. Первомайская, д. 10/27</t>
  </si>
  <si>
    <t xml:space="preserve">Г. Ельня, ул. Пролетарская, д. 2 </t>
  </si>
  <si>
    <t>Г. Рославль, ул. Урицкого, д. 13а</t>
  </si>
  <si>
    <t>Г. Рославль, ул. Урицкого, д. 15а</t>
  </si>
  <si>
    <t>Г. Смоленск, ул. Маршала Жукова, д. 20</t>
  </si>
  <si>
    <t>Дер. Мачулы, д. 108</t>
  </si>
  <si>
    <t>Г. Починок, пер. 2-й Советский, д. 2</t>
  </si>
  <si>
    <t>Г. Починок, пер. 2-й Советский, д. 4</t>
  </si>
  <si>
    <t>Г. Починок, ул. Урицкого, д. 47</t>
  </si>
  <si>
    <t>Г. Рославль, ул. Советская, д. 67</t>
  </si>
  <si>
    <t>Г. Сафоново, ул. Свободы, д. 2</t>
  </si>
  <si>
    <t>Г. Смоленск, городок Коминтерна, д. 15</t>
  </si>
  <si>
    <t>Г. Смоленск, ул. 12 лет Октября, д. 15</t>
  </si>
  <si>
    <t>Г. Смоленск, ул. Беляева, д. 6</t>
  </si>
  <si>
    <t>Г. Смоленск, ул. Дзержинского, д. 24</t>
  </si>
  <si>
    <t>Г. Смоленск, ул. Лавочкина, д. 53а</t>
  </si>
  <si>
    <t>Г. Смоленск, ул. Тухачевского, д. 3</t>
  </si>
  <si>
    <t>Г. Сычевка, ул. Большая Советская, д. 21</t>
  </si>
  <si>
    <t>Г. Сычевка, ул. Большая Советская, д. 24</t>
  </si>
  <si>
    <t>Г. Сычевка, ул. Ломоносова, д. 16</t>
  </si>
  <si>
    <t>Г. Ярцево, ул. Чернышевского, д. 8</t>
  </si>
  <si>
    <t>Дер. Березино, ул. Центральная, д.  1</t>
  </si>
  <si>
    <t>Дер. Березино, ул. Центральная, д.  10</t>
  </si>
  <si>
    <t>Дер. Березино, ул. Центральная, д.  14</t>
  </si>
  <si>
    <t>Дер. Березино, ул. Центральная, д.  3</t>
  </si>
  <si>
    <t>Дер. Большое Береснево, ул. Лесная, д. 1</t>
  </si>
  <si>
    <t>Дер. ДРСУ-5, д. 1</t>
  </si>
  <si>
    <t>Дер. ДРСУ-5, д. 2</t>
  </si>
  <si>
    <t>Дер. ДРСУ-5, д. 3</t>
  </si>
  <si>
    <t>Дер. ДРСУ-5, д. 4</t>
  </si>
  <si>
    <t>Дер. ДРСУ-5, д. 5</t>
  </si>
  <si>
    <t>Дер. ДРСУ-5, д. 7</t>
  </si>
  <si>
    <t>Дер. ДРСУ-5, д. 8</t>
  </si>
  <si>
    <t>Дер. Казулино, ул. Центральная, д. 11</t>
  </si>
  <si>
    <t xml:space="preserve">Дер. Михейково, ул. Юбилейная, д. 3 </t>
  </si>
  <si>
    <t xml:space="preserve">Дер. Смолиговка, ул. Калинина, д. 9 </t>
  </si>
  <si>
    <t>Дер. Чижовка-2, ул. Ценральная, д. 14</t>
  </si>
  <si>
    <t xml:space="preserve">Пос. Вадино, ул. Труда, д. 5 </t>
  </si>
  <si>
    <t>С. Карманово, ул. Пролетарская, д. 12</t>
  </si>
  <si>
    <t>Г. Починок, ул. Советская, д. 61</t>
  </si>
  <si>
    <t>Г. Смоленск, пос. 430 км, д. 20</t>
  </si>
  <si>
    <t>Г. Починок, ул. Строителей, д. 10</t>
  </si>
  <si>
    <t>Дер. Новое Село, ул. Октябрьская, д. 1</t>
  </si>
  <si>
    <t>С. Угра, ул. Краснознаменная, д. 26</t>
  </si>
  <si>
    <t>С. Угра, ул. Школьная, д. 14</t>
  </si>
  <si>
    <t>Г. Смоленск, городок Коминтерна, д. 8</t>
  </si>
  <si>
    <t>Пгт Верхнеднепровский, 
пер. Днепровский, д. 2</t>
  </si>
  <si>
    <t>Пгт Верхнеднепровский, 
ул. Комсомольская, д. 16</t>
  </si>
  <si>
    <t>Пгт Верхнеднепровский, 
ул. Комсомольская, д. 25</t>
  </si>
  <si>
    <t>Пгт Верхнеднепровский, 
ул. Комсомольская, д. 27</t>
  </si>
  <si>
    <t>Пгт Верхнеднепровский, 
ул. Комсомольская, д. 31</t>
  </si>
  <si>
    <t>Г. Вязьма, пер. Устинкин, д. 7а</t>
  </si>
  <si>
    <t>Г. Рудня, ул. Комсомольская, д. 10б</t>
  </si>
  <si>
    <t>Г. Рудня, ул. Льнозаводская, д. 12</t>
  </si>
  <si>
    <t>Г. Рославль, ул. Пушкина, д. 64</t>
  </si>
  <si>
    <t>Г. Дорогобуж, пер. Строителей, д. 15</t>
  </si>
  <si>
    <t>Г. Вязьма, пер. Загородный, д. 21</t>
  </si>
  <si>
    <t>Г. Вязьма, ул. Восстания, д. 2</t>
  </si>
  <si>
    <t>Г. Вязьма, ул. Московская, д. 13</t>
  </si>
  <si>
    <t>Г. Вязьма, ул. Полины Осипенко, д. 1а</t>
  </si>
  <si>
    <t>Г. Вязьма, ул. Полины Осипенко, д. 25</t>
  </si>
  <si>
    <t>Г. Вязьма, ул. Полины Осипенко, д. 3а</t>
  </si>
  <si>
    <t>Г. Вязьма, ул. Репина, д. 17а</t>
  </si>
  <si>
    <t>Г. Вязьма, ул. Спортивная, д. 1а, 
корпус 1</t>
  </si>
  <si>
    <t>Г. Вязьма, ул. Спортивная, д. 1а, 
корпус 2</t>
  </si>
  <si>
    <t>Г. Гагарин, пер. Пионерский, д. 12</t>
  </si>
  <si>
    <t>Г. Гагарин, пер. Пионерский, д. 14</t>
  </si>
  <si>
    <t>Г. Гагарин, пер. Пионерский, д. 16</t>
  </si>
  <si>
    <t>Г. Гагарин, ул. Свердлова, д. 90</t>
  </si>
  <si>
    <t>Г. Гагарин, ул. Стройотрядовская, д. 10</t>
  </si>
  <si>
    <t>Г. Рославль, мкрн. 16, д. 2</t>
  </si>
  <si>
    <t>Г. Рославль, ул. Имени Эдуарда Георгиевича Репина, д. 4, корпус 1</t>
  </si>
  <si>
    <t>Г. Рославль, ул. Имени Эдуарда Георгиевича Репина, д. 4, корпус 2</t>
  </si>
  <si>
    <t>Г. Сафоново, ул. Гагарина, д. 5</t>
  </si>
  <si>
    <t>Г. Сафоново, ул. Гагарина, д. 5а</t>
  </si>
  <si>
    <t>Г. Сафоново, ул. Красногвардейская, 
д. 20</t>
  </si>
  <si>
    <t>Г. Сафоново, ул. Ленина, д. 5а</t>
  </si>
  <si>
    <t>Г. Сафоново, ул. Первомайская, д. 11</t>
  </si>
  <si>
    <t>Г. Сафоново, ул. Советская, д. 48а</t>
  </si>
  <si>
    <t>Г. Ярцево, ул. Автозаводская, д. 12</t>
  </si>
  <si>
    <t>Г. Ярцево, ул. Автозаводская, д. 16</t>
  </si>
  <si>
    <t>Г. Ярцево, ул. Ольховская, д. 11</t>
  </si>
  <si>
    <t>Г. Ярцево, ул. Ольховская, д. 7</t>
  </si>
  <si>
    <t>Пгт Голынки, ул. Ленина, д. 12</t>
  </si>
  <si>
    <t>Пгт Голынки, ул. Ленина, д. 14</t>
  </si>
  <si>
    <t>Г. Смоленск, ул. 25 Сентября, д. 26</t>
  </si>
  <si>
    <t>Г. Смоленск, ул. 25 Сентября, д. 30</t>
  </si>
  <si>
    <t>Г. Смоленск, ул. 25 Сентября, д. 38/1</t>
  </si>
  <si>
    <t>Г. Смоленск, ул. Автозаводская, д. 22а</t>
  </si>
  <si>
    <t>Г. Смоленск, ул. Автозаводская, д. 25</t>
  </si>
  <si>
    <t>Г. Смоленск, ул. Автозаводская, д. 33</t>
  </si>
  <si>
    <t>Г. Смоленск, ул. Багратиона, д. 11а</t>
  </si>
  <si>
    <t>Г. Смоленск, ул. Багратиона, д. 65</t>
  </si>
  <si>
    <t>Г. Смоленск, ул. Лавочкина, д. 39</t>
  </si>
  <si>
    <t>Г. Смоленск, ул. Маршала Еременко, 
д. 32</t>
  </si>
  <si>
    <t>Г. Смоленск, ул. Маршала Еременко, 
д. 42</t>
  </si>
  <si>
    <t>Г. Смоленск, ул. Маршала Еременко, 
д. 58</t>
  </si>
  <si>
    <t>Г. Смоленск, ул. Маршала Еременко, 
д. 60</t>
  </si>
  <si>
    <t>Г. Смоленск, ул. Маршала Еременко, 
д. 66</t>
  </si>
  <si>
    <t>Г. Смоленск, ул. Маршала Еременко, 
д. 68</t>
  </si>
  <si>
    <t>Г. Смоленск, ул. Маршала Еременко, 
д. 70</t>
  </si>
  <si>
    <t>Г. Смоленск, ул. Нахимова, д. 12</t>
  </si>
  <si>
    <t>Г. Смоленск, ул. Нормандия-Неман, 
д. 33</t>
  </si>
  <si>
    <t>Г. Смоленск, ул. Попова, д. 102</t>
  </si>
  <si>
    <t>Г. Смоленск, ул. Попова, д. 50</t>
  </si>
  <si>
    <t>Г. Смоленск, ул. Попова, д. 64</t>
  </si>
  <si>
    <t>Г. Смоленск, ул. Попова, д. 74</t>
  </si>
  <si>
    <t>Г. Смоленск, ул. Попова, д. 96</t>
  </si>
  <si>
    <t>Г. Смоленск, ул. Румянцева, д. 19</t>
  </si>
  <si>
    <t>Г. Смоленск, ул. Рыленкова, д. 51</t>
  </si>
  <si>
    <t>Г. Смоленск, ул. Рыленкова, д. 35</t>
  </si>
  <si>
    <t>Г. Смоленск, ул. Рыленкова, д. 59</t>
  </si>
  <si>
    <t>Г. Смоленск, ул. Строгань, д. 7</t>
  </si>
  <si>
    <t>Г. Смоленск, ул. Твардовского, д. 15а</t>
  </si>
  <si>
    <t>Г. Смоленск, ул. Тенишевой, д. 29</t>
  </si>
  <si>
    <t>Г. Смоленск, ул. Фрунзе, д. 11</t>
  </si>
  <si>
    <t>Г. Смоленск, ул. Фрунзе, д. 24</t>
  </si>
  <si>
    <t>Г. Смоленск, ул. Фрунзе, д. 5</t>
  </si>
  <si>
    <t>Г. Смоленск, ул. Чапаева, д. 1</t>
  </si>
  <si>
    <t>Г. Смоленск, ул. Гарабурды, д. 29</t>
  </si>
  <si>
    <t>Г. Смоленск, ул. Кловская, д. 38</t>
  </si>
  <si>
    <t>Пгт Шумячи, ул. Базарная, д. 49</t>
  </si>
  <si>
    <t>Пгт Шумячи, ул. Маяковского, д. 1</t>
  </si>
  <si>
    <t>Пгт Шумячи, ул. Маяковского, д. 9</t>
  </si>
  <si>
    <t>Пгт Шумячи, ул. Пионерская, д. 1а</t>
  </si>
  <si>
    <t>Пгт Шумячи, ул. Садовая, д. 14</t>
  </si>
  <si>
    <t>Пгт Шумячи, ул. Садовая, д. 16</t>
  </si>
  <si>
    <t>Пгт Шумячи, ул. Садовая, д. 9</t>
  </si>
  <si>
    <t>Пгт Шумячи, ул. Сельхозтехника, д. 16а</t>
  </si>
  <si>
    <t>Дер. Коски, ул. Луговая, д. 4</t>
  </si>
  <si>
    <t>Г. Рудня, ул. Западная, д. 19б</t>
  </si>
  <si>
    <t>Г. Смоленск, просп. Строителей, д. 10</t>
  </si>
  <si>
    <t>Г. Смоленск, ул. Черняховского, д. 42</t>
  </si>
  <si>
    <t>Г. Смоленск, ул. Нарвская, д. 13</t>
  </si>
  <si>
    <t>С. Всходы, ул. Исаковского, д. 37</t>
  </si>
  <si>
    <t>Г. Ельня, ул. Интернациональная, д. 56</t>
  </si>
  <si>
    <t>Г. Ельня, ул. Ленина, д. 55</t>
  </si>
  <si>
    <t>Г. Вязьма, ул. Парковая, д. 6</t>
  </si>
  <si>
    <t>Г. Вязьма, ул. Репина, д. 14</t>
  </si>
  <si>
    <t>С. Шуйское, ул. Новоселов, д. 1</t>
  </si>
  <si>
    <t>С. Шуйское, ул. Новоселов, д. 3</t>
  </si>
  <si>
    <t>С. Карманово, ул. Молодежная, д. 3</t>
  </si>
  <si>
    <t>Г. Демидов, ул. Витебская, д. 25</t>
  </si>
  <si>
    <t>Г. Демидов, ул. Просвещения, д. 8</t>
  </si>
  <si>
    <t>Г. Смоленск, городок Коминтерна, д. 6</t>
  </si>
  <si>
    <t>Г. Смоленск, городок Коминтерна, д. 3</t>
  </si>
  <si>
    <t>Г. Смоленск, ул. Бакунина, д. 2</t>
  </si>
  <si>
    <t>Г. Ельня, ул. Ольги Ржевской, д. 63</t>
  </si>
  <si>
    <t>Пгт Кардымово, ул. Социалистическая, д. 3</t>
  </si>
  <si>
    <t>Г. Починок, ул. Строителей, д. 20</t>
  </si>
  <si>
    <t>Дер. Даньково, д. 1</t>
  </si>
  <si>
    <t>Дер. Крюково, д. 1</t>
  </si>
  <si>
    <t>Дер. Крюково, д. 2</t>
  </si>
  <si>
    <t>Дер. Пушкино, ул. Пролетарская, д. 27</t>
  </si>
  <si>
    <t>Г. Смоленск, ул. Попова, д. 54</t>
  </si>
  <si>
    <t>С. Угра, ул. Ленина, д. 26</t>
  </si>
  <si>
    <t>Пгт Холм-Жирковский, ул. Победы, д. 16</t>
  </si>
  <si>
    <t>Г. Ярцево, ул. Гагарина, д. 4</t>
  </si>
  <si>
    <t>Г. Ярцево, ул. Максима Горького, д. 13</t>
  </si>
  <si>
    <t>Г. Вязьма, ул. Ленина, д. 63а</t>
  </si>
  <si>
    <t>Ст. Игоревская, ул. Южная, д. 8</t>
  </si>
  <si>
    <t>Г. Ельня, ул. Интернациональная, д. 40а</t>
  </si>
  <si>
    <t>Г. Ярцево, ул. ЛММС, д. 4</t>
  </si>
  <si>
    <t>Дер. Смолиговка, ул. Калинина, д. 11</t>
  </si>
  <si>
    <t>Г. Смоленск, ул. Пржевальского, д. 12</t>
  </si>
  <si>
    <t>Г. Смоленск, ул. Ключевая, д. 6б</t>
  </si>
  <si>
    <t>Г. Смоленск, ул. Тургенева, д. 34</t>
  </si>
  <si>
    <t>Дер. Добромино, ул. Железнодорожная,
д. 15</t>
  </si>
  <si>
    <t>Дер. Добромино, ул. Железнодорожная, 
д. 16</t>
  </si>
  <si>
    <t>Г. Дорогобуж, ул. Коммунистическая,
 д. 22а</t>
  </si>
  <si>
    <t>Г. Дорогобуж, ул. Коммунистическая, 
д. 26а</t>
  </si>
  <si>
    <t>Пгт Верхнеднепровский, 
пер. Днепровский, д. 1</t>
  </si>
  <si>
    <t>Пгт Верхнеднепровский, 
ул. Комсомольская, д. 11</t>
  </si>
  <si>
    <t>Пгт Верхнеднепровский, 
ул. Комсомольская, д. 7</t>
  </si>
  <si>
    <t>Пгт Верхнеднепровский, 
ул. Комсомольская, д. 8</t>
  </si>
  <si>
    <t>Пгт Верхнеднепровский, 
ул. Комсомольская, д. 9</t>
  </si>
  <si>
    <t>Пгт Монастырщина, пер. Молодежный, 
д. 2</t>
  </si>
  <si>
    <t>Пгт Монастырщина, пер. Молодежный, 
д. 8</t>
  </si>
  <si>
    <t>Пос. Дом Отдыха Александрино, 
ул. Парковая, д. 1</t>
  </si>
  <si>
    <t>Дер. Николо-Погорелое, 
ул. Комсомольская, д. 3</t>
  </si>
  <si>
    <t>Г. Смоленск, ул. 2-й Смоленский ручей, 
д. 5</t>
  </si>
  <si>
    <t>Г. Смоленск, ул. Большая Советская, 
д. 28/16</t>
  </si>
  <si>
    <t>Г. Смоленск, ул. Верхне-Рославльская, 
д. 20</t>
  </si>
  <si>
    <t>Г. Смоленск, ул. Верхне-Рославльская, 
д. 22</t>
  </si>
  <si>
    <t>Г. Смоленск, ул. Мало-Краснофлотская, 
д. 29</t>
  </si>
  <si>
    <t>Г. Смоленск, ул. Мало-Краснофлотская, 
д. 29а</t>
  </si>
  <si>
    <t>Г. Смоленск, ул. Марии Октябрьской, 
д. 10г</t>
  </si>
  <si>
    <t>Г. Смоленск, ул. Московский Большак, 
д. 22</t>
  </si>
  <si>
    <t>Г. Смоленск, ул. Московский Большак, 
д. 45</t>
  </si>
  <si>
    <t>Г. Смоленск, ул. Московский Большак, 
д. 51а</t>
  </si>
  <si>
    <t>Г. Смоленск, ул. Московский Большак, 
д. 55а</t>
  </si>
  <si>
    <t>Ст. Волоста-Пятница, 
ул. Железнодорожная, д. 10</t>
  </si>
  <si>
    <t>Пгт Холм-Жирковский, ул. Октябрьская, 
д. 29</t>
  </si>
  <si>
    <t>Г. Вязьма, ул. Красноармейское шоссе, 
д. 13а</t>
  </si>
  <si>
    <t>Г. Вязьма, ул. Красноармейское шоссе, 
д. 15</t>
  </si>
  <si>
    <t>Пгт Верхнеднепровский, 
ул. Комсомольская, д. 15</t>
  </si>
  <si>
    <t>Дер. Николо-Погорелое, 
ул. Комсомольская, д. 5</t>
  </si>
  <si>
    <t>Г. Смоленск, пер. 1-й Краснофлотский, 
д. 13</t>
  </si>
  <si>
    <t>Г. Смоленск, пер. 2-й Краснофлотский, 
д. 34а</t>
  </si>
  <si>
    <t>Г. Смоленск, пер. 2-й Краснофлотский, 
д. 34б</t>
  </si>
  <si>
    <t>Г. Смоленск, пер. 2-й Краснофлотский, 
д. 34в</t>
  </si>
  <si>
    <t>Г. Смоленск, ул. Мало-Краснофлотская, 
д. 29б</t>
  </si>
  <si>
    <t>Г. Смоленск, ул. Мало-Краснофлотская, 
д. 29в</t>
  </si>
  <si>
    <t>Г. Смоленск, ул. Мало-Краснофлотская, 
д. 31</t>
  </si>
  <si>
    <t>Г. Смоленск, ул. Мало-Краснофлотская, 
д. 31а</t>
  </si>
  <si>
    <t>Г. Смоленск, ул. Мало-Краснофлотская, 
д. 33</t>
  </si>
  <si>
    <t>Г. Смоленск, ул. Мало-Краснофлотская, 
д. 35</t>
  </si>
  <si>
    <t>Г. Смоленск, ул. Московский Большак, 
д. 47</t>
  </si>
  <si>
    <t>Г. Смоленск, ул. Новая Слобода-Садки, 
д. 6а</t>
  </si>
  <si>
    <t>Г. Вязьма, ул. Калинина, д. 1</t>
  </si>
  <si>
    <t>Г. Вязьма, пер. Загородный, д. 2</t>
  </si>
  <si>
    <t>Г. Вязьма, ул. Полевая, д. 47</t>
  </si>
  <si>
    <t>Г. Десногорск, мкрн. 3, д. 1б</t>
  </si>
  <si>
    <t>Г. Десногорск, мкрн. 2, д. 12</t>
  </si>
  <si>
    <t>Г. Десногорск, мкрн. 2, д. 13</t>
  </si>
  <si>
    <t>Г. Десногорск, мкрн. 2, д. 16</t>
  </si>
  <si>
    <t>Г. Десногорск, мкрн. 2, д. 18</t>
  </si>
  <si>
    <t>Г. Десногорск, мкрн. 2, д. 21</t>
  </si>
  <si>
    <t>Г. Десногорск, мкрн. 2, д. 22</t>
  </si>
  <si>
    <t>Г. Десногорск, мкрн. 2, д. 23</t>
  </si>
  <si>
    <t>Г. Десногорск, мкрн. 2, д. 26</t>
  </si>
  <si>
    <t>Г. Десногорск, мкрн. 2, д. 27</t>
  </si>
  <si>
    <t>Г. Десногорск, мкрн. 2, д. 28</t>
  </si>
  <si>
    <t>Г. Десногорск, мкрн. 2, д. 29</t>
  </si>
  <si>
    <t>Г. Десногорск, мкрн. 2, д. 5</t>
  </si>
  <si>
    <t>Г. Десногорск, мкрн. 2, д. 6</t>
  </si>
  <si>
    <t>Г. Десногорск, мкрн. 2, д. 7</t>
  </si>
  <si>
    <t>Г. Десногорск, мкрн. 2, д. 8</t>
  </si>
  <si>
    <t>Г. Десногорск, мкрн. 3, д. 10</t>
  </si>
  <si>
    <t>Г. Десногорск, мкрн. 3, д. 13а</t>
  </si>
  <si>
    <t>Г. Десногорск, мкрн. 3, д. 14</t>
  </si>
  <si>
    <t>Г. Десногорск, мкрн. 3, д. 2</t>
  </si>
  <si>
    <t>Г. Сафоново, ул. Ленина, д. 1а</t>
  </si>
  <si>
    <t>Г. Смоленск, пр. Трамвайный, д. 2</t>
  </si>
  <si>
    <t>Г. Смоленск, ул. Автозаводская, д. 27</t>
  </si>
  <si>
    <t>Г. Смоленск, ул. Лавочкина, д. 54б</t>
  </si>
  <si>
    <t>Г. Смоленск, ул. Лавочкина, д. 72</t>
  </si>
  <si>
    <t>Г. Смоленск, ул. Марии Октябрьской, 
д. 14</t>
  </si>
  <si>
    <t>Г. Смоленск, ул. Маршала Еременко, 
д. 28</t>
  </si>
  <si>
    <t>Г. Смоленск, ул. Маршала Еременко, 
д. 2</t>
  </si>
  <si>
    <t>Г. Смоленск, ул. Маршала Еременко, 
д. 4</t>
  </si>
  <si>
    <t>Г. Смоленск, ул. Нахимова, д. 13а</t>
  </si>
  <si>
    <t>Г. Смоленск, ул. Нахимова, д. 13б</t>
  </si>
  <si>
    <t>Г. Смоленск, ул. Нахимова, д. 31</t>
  </si>
  <si>
    <t>Г. Смоленск, ул. Николаева, д. 77</t>
  </si>
  <si>
    <t>Г. Смоленск, ул. Николаева, д. 79</t>
  </si>
  <si>
    <t>Г. Смоленск, ул. Нормандия-Неман, д. 23б</t>
  </si>
  <si>
    <t>Г. Смоленск, ул. Попова, д. 40а</t>
  </si>
  <si>
    <t>Г. Смоленск, ул. Рыленкова, д. 27</t>
  </si>
  <si>
    <t>Г. Смоленск, ул. Седова, д. 20</t>
  </si>
  <si>
    <t>Г. Смоленск, ул. Седова, д. 26</t>
  </si>
  <si>
    <t>Г. Смоленск, ул. Тенишевой, д. 31</t>
  </si>
  <si>
    <t>Г. Смоленск, ул. Толмачева, д. 3</t>
  </si>
  <si>
    <t>Г. Смоленск, ул. Толмачева, д. 7</t>
  </si>
  <si>
    <t>Г. Смоленск, ул. Шевченко, д. 73а</t>
  </si>
  <si>
    <t>Г. Смоленск, ул. Шевченко, д. 73б</t>
  </si>
  <si>
    <t>Г. Ярцево, ул. Автозаводская, д. 8</t>
  </si>
  <si>
    <t>Г. Смоленск, ул. 25 Сентября, д. 32</t>
  </si>
  <si>
    <t>Г. Десногорск, мкрн. 3, д. 11</t>
  </si>
  <si>
    <t>Г. Десногорск, мкрн. 4, д. 1</t>
  </si>
  <si>
    <t>Г. Десногорск, мкрн. 4, д. 10</t>
  </si>
  <si>
    <t>Г. Десногорск, мкрн. 4, д. 15</t>
  </si>
  <si>
    <t>Г. Десногорск, мкрн. 4, д. 2</t>
  </si>
  <si>
    <t>Г. Десногорск, мкрн. 4, д. 4</t>
  </si>
  <si>
    <t>Г. Десногорск, мкрн. 3, д. 1</t>
  </si>
  <si>
    <t>Г. Десногорск, мкрн. 3, д. 13</t>
  </si>
  <si>
    <t>Г. Десногорск, мкрн. 3, д. 15</t>
  </si>
  <si>
    <t>Г. Десногорск, мкрн. 3, д. 15а</t>
  </si>
  <si>
    <t>Г. Десногорск, мкрн. 3, д. 16</t>
  </si>
  <si>
    <t>Г. Десногорск, мкрн. 3, д. 16а</t>
  </si>
  <si>
    <t>Г. Десногорск, мкрн. 3, д. 16б</t>
  </si>
  <si>
    <t>Г. Десногорск, мкрн. 3, д. 17</t>
  </si>
  <si>
    <t>Г. Десногорск, мкрн. 3, д. 18</t>
  </si>
  <si>
    <t>Г. Десногорск, мкрн. 3, д. 19</t>
  </si>
  <si>
    <t>Г. Десногорск, мкрн. 3, д. 1а</t>
  </si>
  <si>
    <t>Г. Десногорск, мкрн. 3, д. 20</t>
  </si>
  <si>
    <t>Г. Десногорск, мкрн. 3, д. 21</t>
  </si>
  <si>
    <t>Г. Десногорск, мкрн. 3, д. 22</t>
  </si>
  <si>
    <t>Г. Десногорск, мкрн. 3, д. 3</t>
  </si>
  <si>
    <t>Г. Десногорск, мкрн. 3, д. 4</t>
  </si>
  <si>
    <t>Г. Десногорск, мкрн. 3, д. 5</t>
  </si>
  <si>
    <t>Г. Десногорск, мкрн. 3, д. 6</t>
  </si>
  <si>
    <t>Г. Десногорск, мкрн. 3, д. 7</t>
  </si>
  <si>
    <t>Г. Десногорск, мкрн. 3, д. 8</t>
  </si>
  <si>
    <t>Г. Десногорск, мкрн. 3, д. 9</t>
  </si>
  <si>
    <t>Г. Десногорск, мкрн. 4, д. 11</t>
  </si>
  <si>
    <t>Г. Десногорск, мкрн. 4, д. 12</t>
  </si>
  <si>
    <t>Г. Десногорск, мкрн. 4, д. 13</t>
  </si>
  <si>
    <t>Г. Десногорск, мкрн. 4, д. 14</t>
  </si>
  <si>
    <t>Г. Десногорск, мкрн. 4, д. 3</t>
  </si>
  <si>
    <t>Г. Десногорск, мкрн. 4, д. 43</t>
  </si>
  <si>
    <t>Г. Десногорск, мкрн. 4, д. 6</t>
  </si>
  <si>
    <t>Г. Десногорск, мкрн. 4, д. 9</t>
  </si>
  <si>
    <t>Г. Смоленск, пер. Колхозный, д. 19</t>
  </si>
  <si>
    <t>Г. Смоленск, просп. Гагарина, д. 48а</t>
  </si>
  <si>
    <t>Г. Смоленск, просп. Гагарина, д. 72</t>
  </si>
  <si>
    <t>Г. Смоленск, просп. Гагарина, д. 74</t>
  </si>
  <si>
    <t>Г. Смоленск, просп. Строителей, д. 24</t>
  </si>
  <si>
    <t>Г. Смоленск, просп. Строителей, д. 26</t>
  </si>
  <si>
    <t>Г. Смоленск, просп. Строителей, д. 7</t>
  </si>
  <si>
    <t>Г. Смоленск, пр. Дзержинского, д. 8</t>
  </si>
  <si>
    <t>Г. Смоленск, ул. 12 лет Октября, д. 13/1</t>
  </si>
  <si>
    <t>Г. Смоленск, ул. Автозаводская, д. 27а</t>
  </si>
  <si>
    <t>Г. Смоленск, ул. Автозаводская, д. 27б</t>
  </si>
  <si>
    <t>Г. Смоленск, ул. Автозаводская, д. 35</t>
  </si>
  <si>
    <t>Г. Смоленск, ул. Автозаводская, д. 46</t>
  </si>
  <si>
    <t>Г. Смоленск, ул. Автозаводская, д. 46в</t>
  </si>
  <si>
    <t>Г. Смоленск, ул. Автозаводская, д. 60</t>
  </si>
  <si>
    <t>Г. Смоленск, ул. Госпитальная, д. 15</t>
  </si>
  <si>
    <t>Г. Смоленск, ул. Кирова, д. 30а</t>
  </si>
  <si>
    <t>Г. Смоленск, ул. Кловская, д. 40</t>
  </si>
  <si>
    <t>Г. Смоленск, ул. Крупской, д. 45а</t>
  </si>
  <si>
    <t>Г. Смоленск, ул. Куйбышева, д. 8</t>
  </si>
  <si>
    <t>Г. Смоленск, ул. Лавочкина, д. 54в</t>
  </si>
  <si>
    <t>Г. Смоленск, ул. Николаева, д. 21б</t>
  </si>
  <si>
    <t>Г. Смоленск, ул. Ново-Киевская, д. 3б</t>
  </si>
  <si>
    <t>Г. Смоленск, ул. Оршанская, д. 20</t>
  </si>
  <si>
    <t>Г. Смоленск, ул. Попова, д. 110, 
корпус 1</t>
  </si>
  <si>
    <t>Г. Смоленск, ул. Попова, д. 110, 
корпус 2</t>
  </si>
  <si>
    <t>Г. Смоленск, ул. Попова, д. 132</t>
  </si>
  <si>
    <t>Г. Смоленск, ул. Рыленкова, д. 72</t>
  </si>
  <si>
    <t xml:space="preserve">Г. Смоленск, ул. Куйбышева, д. 9, корпус 1 </t>
  </si>
  <si>
    <t>Г. Ярцево, просп. Металлургов, д. 18</t>
  </si>
  <si>
    <t>Г. Ярцево, просп. Металлургов, д. 24</t>
  </si>
  <si>
    <t>Г. Ярцево, просп. Металлургов, д. 30</t>
  </si>
  <si>
    <t>Г. Ярцево, просп. Металлургов, д. 48</t>
  </si>
  <si>
    <t>Г. Вязьма, ул. Сычевское шоссе, д. 48</t>
  </si>
  <si>
    <t>Г. Смоленск, ул. Николаева, д. 20</t>
  </si>
  <si>
    <t xml:space="preserve">С. Остер, ул. Комарова, д. 6 </t>
  </si>
  <si>
    <t>Г. Смоленск, ул. Маршала Соколовского, 
д. 5д</t>
  </si>
  <si>
    <t>Г. Гагарин, ул. Строителей, д. 151а, 
корпус 2</t>
  </si>
  <si>
    <t>кв. м.</t>
  </si>
  <si>
    <t>осуществление авторами проектов технического и авторского надзора за выполнением работ по сохранению объектов культурного наследия при проведении капитального ремонта общего имущества в многоквартирном доме, являющемся таким объектом, научного руководства проведением указанных работ</t>
  </si>
  <si>
    <t>Итого по Смоленской области 
на 2026 - 2028 годы</t>
  </si>
  <si>
    <t>Итого по муниципальному образованию
«Вяземский муниципальный округ» 
Смоленской области</t>
  </si>
  <si>
    <t>Г. Вязьма, ул. Софьи Перовской, д. 5</t>
  </si>
  <si>
    <t>Итого по муниципальному образованию
«Гагаринский муниципальный округ» 
Смоленской области</t>
  </si>
  <si>
    <t>Итого по муниципальному образованию
«Глинковский муниципальный округ» Смоленской области</t>
  </si>
  <si>
    <t>Итого по муниципальному образованию
«Демидовский муниципальный округ» Смоленской области</t>
  </si>
  <si>
    <t>Итого по муниципальному образованию
«Дорогобужский муниципальный округ» Смоленской области</t>
  </si>
  <si>
    <t>Итого по муниципальному образованию
«Духовщинский муниципальный округ» Смоленской области</t>
  </si>
  <si>
    <t>Итого по муниципальному образованию
«Ельнинский муниципальный округ» 
Смоленской области</t>
  </si>
  <si>
    <t>Итого по муниципальному образованию
«Ершичский муниципальный округ» 
Смоленской области</t>
  </si>
  <si>
    <t>Итого по муниципальному образованию
«Краснинский муниципальный округ» Смоленской области</t>
  </si>
  <si>
    <t>Итого по муниципальному образованию
«Монастырщинский муниципальный округ» Смоленской области</t>
  </si>
  <si>
    <t>Итого по муниципальному образованию
«Новодугинский муниципальный округ» Смоленской области</t>
  </si>
  <si>
    <t>Итого по муниципальному образованию
«Починковский муниципальный округ» Смоленской области</t>
  </si>
  <si>
    <t>Итого по муниципальному образованию
«Руднянский муниципальный округ» 
Смоленской области</t>
  </si>
  <si>
    <t>Итого по муниципальному образованию
«Сафоновский муниципальный округ» Смоленской области</t>
  </si>
  <si>
    <t>Итого по городскому округу Смоленск</t>
  </si>
  <si>
    <t>Итого по муниципальному образованию
«Смоленский муниципальный округ» 
Смоленской области</t>
  </si>
  <si>
    <t>Итого по муниципальному образованию
«Сычевский муниципальный округ» 
Смоленской области</t>
  </si>
  <si>
    <t>Итого по муниципальному образованию
«Темкинский муниципальный округ» 
Смоленской области</t>
  </si>
  <si>
    <t>Итого по муниципальному образованию
«Угранский муниципальный округ» 
Смоленской области</t>
  </si>
  <si>
    <t>Итого по муниципальному образованию
«Хиславичский муниципальный округ» Смоленской области</t>
  </si>
  <si>
    <t>Итого по муниципальному образованию
«Холм-Жирковский муниципальный округ» Смоленской области</t>
  </si>
  <si>
    <t>Итого по муниципальному образованию
«Шумячский муниципальный округ» 
Смоленской области</t>
  </si>
  <si>
    <t>Итого по муниципальному образованию
«Ярцевский муниципальный округ» 
Смоленской области</t>
  </si>
  <si>
    <t>Дер. Капыревщина, ул. Мира, д. 8</t>
  </si>
  <si>
    <t>2027 год</t>
  </si>
  <si>
    <t>Итого по муниципальному образованию
«Велижский муниципальный округ» 
Смоленской области</t>
  </si>
  <si>
    <t>С. Новый, ул. 1 Мая, д. 2</t>
  </si>
  <si>
    <t>Итого по городскому округу город Десногорск Смоленской области</t>
  </si>
  <si>
    <t>Итого по муниципальному образованию
«Кардымовский муниципальный округ» Смоленской области</t>
  </si>
  <si>
    <t>Итого по муниципальному образованию
«Рославльский муниципальный округ» Смоленской области</t>
  </si>
  <si>
    <t>Г. Вязьма, ул. Воинов-
интернационалистов, д. 3</t>
  </si>
  <si>
    <t>Пгт Монастырщина, ул. 25 Cентября, д. 8</t>
  </si>
  <si>
    <t>Итого по муниципальному образованию «Рославльский муниципальный округ» Смоленской области</t>
  </si>
  <si>
    <t>Г. Вязьма, ул. Воинов-
интернационалистов, д. 5, корпус 3</t>
  </si>
  <si>
    <t>Пгт Монастырщина, ул. 25 Cентября, д. 10</t>
  </si>
  <si>
    <t>Пгт Монастырщина, ул. 25 Cентября, д. 12</t>
  </si>
  <si>
    <t>Пгт Монастырщина, ул. 25 Cентября, д. 4</t>
  </si>
  <si>
    <t>Пгт Монастырщина, ул. 25 Cентября, д. 6</t>
  </si>
  <si>
    <t>С. Новый, ул. 1 Мая, д. 3</t>
  </si>
  <si>
    <t>С. Новый, ул. 1 Мая, д. 5</t>
  </si>
  <si>
    <t>Г. Смоленск, мкрн. Королевка, д. 7</t>
  </si>
  <si>
    <t>Г. Велиж, ул. Кропоткина, д. 33</t>
  </si>
  <si>
    <t>Г. Вязьма, ул. Кронштадтская, д. 1</t>
  </si>
  <si>
    <t>Г. Вязьма, ул. Кронштадская, д. 2</t>
  </si>
  <si>
    <t>Г. Вязьма, ул. Лейтенанта Шмидта, д. 10а</t>
  </si>
  <si>
    <t>Г. Вязьма, ул. Ленина, д. 48</t>
  </si>
  <si>
    <t>Г. Вязьма, ул. Ленина, д. 63</t>
  </si>
  <si>
    <t>Г. Вязьма, ул. Молодежная, д. 13</t>
  </si>
  <si>
    <t>Г. Вязьма, ул. Молодежная, д. 7</t>
  </si>
  <si>
    <t>Г. Вязьма, ул. Парижской Коммуны, д. 3</t>
  </si>
  <si>
    <t>Г. Вязьма, ул. Парижской Коммуны, д. 8</t>
  </si>
  <si>
    <t>Г. Вязьма, ул. Покровского, д. 1</t>
  </si>
  <si>
    <t>Г. Вязьма, ул. Репина, д. 15</t>
  </si>
  <si>
    <t>Г. Вязьма, ул. Смоленская, д. 10</t>
  </si>
  <si>
    <t>Г. Вязьма, ул. Смоленская, д. 6</t>
  </si>
  <si>
    <t>Г. Вязьма, ул. Смоленская, д. 21</t>
  </si>
  <si>
    <t>Г. Вязьма, ул. Смоленская, д. 23</t>
  </si>
  <si>
    <t>Г. Вязьма, ул. Фрунзе, д. 3а</t>
  </si>
  <si>
    <t>Г. Вязьма, ул. Юбилейная, д. 25</t>
  </si>
  <si>
    <t>Дер. Относово, ул. Школьная, д. 12</t>
  </si>
  <si>
    <t>С. Андрейково, ул. Садовая, д. 1</t>
  </si>
  <si>
    <t>С. Вяземский, ул. Каретниковой, д. 1</t>
  </si>
  <si>
    <t>С. Вяземский, ул. Каретниковой, д. 3</t>
  </si>
  <si>
    <t xml:space="preserve">Дер. Новое Село, ул. Полевая, д. 1 </t>
  </si>
  <si>
    <t>Ст. Семлево, ул. Полевая, д. 13</t>
  </si>
  <si>
    <t>Г. Гагарин, мкр. Лесной, ул. Мира, д. 4</t>
  </si>
  <si>
    <t>Г. Гагарин, пер. Мелиоративный, д. 15</t>
  </si>
  <si>
    <t>Г. Гагарин, ул. 50 лет ВЛКСМ, д. 4</t>
  </si>
  <si>
    <t>Г. Гагарин, ул. Красноармейская, д. 91</t>
  </si>
  <si>
    <t>Г. Гагарин, ул. Ленина, д. 77</t>
  </si>
  <si>
    <t>Г. Гагарин, ул. Молодежная, д. 8</t>
  </si>
  <si>
    <t>Г. Гагарин, ул. Пушная, д. 16</t>
  </si>
  <si>
    <t>Дер. Родоманово, ул. Советская, д. 4</t>
  </si>
  <si>
    <t>Дер. Родоманово, ул. Советская, д. 7</t>
  </si>
  <si>
    <t>С. Карманово, ул. Пролетарская, д. 3</t>
  </si>
  <si>
    <t>С. Карманово, ул. Советская, д. 50а</t>
  </si>
  <si>
    <t xml:space="preserve">С. Карманово, ул. Торфяников, д. 2 </t>
  </si>
  <si>
    <t>Дер. Покров, ул. Центральная, д. 15</t>
  </si>
  <si>
    <t>С. Серго-Ивановское, ул. Заводская, д. 14</t>
  </si>
  <si>
    <t>Г. Демидов, ул. Кооперативная, д. 2</t>
  </si>
  <si>
    <t>Г. Демидов, ул. Фрадкова, д. 21</t>
  </si>
  <si>
    <t>Г. Демидов, ул. Хренова, д. 14</t>
  </si>
  <si>
    <t>Г. Демидов, ул. Хренова, д. 16а</t>
  </si>
  <si>
    <t>Г. Демидов, ул. Хренова, д. 22</t>
  </si>
  <si>
    <t>Г. Десногорск, мкрн. 1, д. 9</t>
  </si>
  <si>
    <t>Г. Десногорск, мкрн. 1, д. 7</t>
  </si>
  <si>
    <t>Г. Дорогобуж, ул. ДОС, д. 1</t>
  </si>
  <si>
    <t>Пгт Верхнеднепровский, ул. Молодежная, д. 20</t>
  </si>
  <si>
    <t>Пгт Верхнеднепровский, ул. Молодежная, д. 6</t>
  </si>
  <si>
    <t>Пгт Верхнеднепровский, ул. Советская, д. 6</t>
  </si>
  <si>
    <t>Пгт Верхнеднепровский, ул. Советская, д. 9</t>
  </si>
  <si>
    <t>С. Алексино, ул. Центральная, д. 21</t>
  </si>
  <si>
    <t>С. Алексино, ул. Центральная, д. 23</t>
  </si>
  <si>
    <t>Дер. Слойково, ул. Центральная, д. 29</t>
  </si>
  <si>
    <t>Г. Духовщина, ул. Горького, д. 14</t>
  </si>
  <si>
    <t>Г. Духовщина, ул. Горького, д. 7а</t>
  </si>
  <si>
    <t>Г. Ельня, ул. Красноармейская, д. 15</t>
  </si>
  <si>
    <t>Г. Ельня, ул. Смоленский большак, д. 61</t>
  </si>
  <si>
    <t>Г. Ельня, ул. Энгельса, д. 4</t>
  </si>
  <si>
    <t>Пгт Кардымово, ул. Октябрьская, д. 3</t>
  </si>
  <si>
    <t>Дер. Пищулино, ул. Льнозаводская, д. 31</t>
  </si>
  <si>
    <t>Пгт Красный, пер. Строителей, д. 2а</t>
  </si>
  <si>
    <t>Пгт Красный, ул. Ленина, д. 28а</t>
  </si>
  <si>
    <t>Дер. Лонница, ул. Мира, д. 15</t>
  </si>
  <si>
    <t>Дер. Лонница, ул. Мира, д. 3</t>
  </si>
  <si>
    <t>Дер. Гусино, ул. Советская, д. 47</t>
  </si>
  <si>
    <t>Дер. Маньково, ул. Советская, д. 17</t>
  </si>
  <si>
    <t>Дер. Маньково, ул. Советская, д. 19</t>
  </si>
  <si>
    <t>Пгт Монастырщина, ул. Интернациональная, д. 9б</t>
  </si>
  <si>
    <t>Пгт Монастырщина, ул. Мира, д. 17</t>
  </si>
  <si>
    <t>Дер. Соболево, д. 26</t>
  </si>
  <si>
    <t>Дер. Татарск, д. 73</t>
  </si>
  <si>
    <t>Г. Починок, 1 мкрн., д. 1</t>
  </si>
  <si>
    <t>Г. Починок, ул. Красноармейская, д. 19</t>
  </si>
  <si>
    <t>Г. Починок, ул. Советская, д. 63</t>
  </si>
  <si>
    <t>Г. Починок, ул. Терешковой, д. 2</t>
  </si>
  <si>
    <t>Г. Починок, ул. Терешковой, д. 4</t>
  </si>
  <si>
    <t>Дер. Рябцево, д. 8</t>
  </si>
  <si>
    <t>Дер. Рябцево, д. 9</t>
  </si>
  <si>
    <t>Дер. Рябцево, д. 12</t>
  </si>
  <si>
    <t>Дер. Рябцево, д. 27</t>
  </si>
  <si>
    <t>Дер. Стригино, д. 3</t>
  </si>
  <si>
    <t>Дер. Стригино, д. 6</t>
  </si>
  <si>
    <t>Дер. Мурыгино, ул. Школьная, д. 38</t>
  </si>
  <si>
    <t>Дер. Мурыгино, ул. Школьная, д. 40</t>
  </si>
  <si>
    <t>Дер. Мурыгино, ул. Школьная, д. 42</t>
  </si>
  <si>
    <t>Дер. Плоское, д. 33</t>
  </si>
  <si>
    <t>Пос. Стодолище, ул. Титова, д. 11</t>
  </si>
  <si>
    <t>Пос. Стодолище, ул. Титова, д. 13</t>
  </si>
  <si>
    <t>Дер. Мачулы, д. 100</t>
  </si>
  <si>
    <t>Г. Рославль, мкрн. 17, д. 14</t>
  </si>
  <si>
    <t>Г. Рославль, мкрн. 17, д. 15</t>
  </si>
  <si>
    <t>Г. Рославль, пер. 1-й Пролетарский, д. 9</t>
  </si>
  <si>
    <t xml:space="preserve">Г. Рославль, пер. Свердлова, д. 20 </t>
  </si>
  <si>
    <t>Г. Рославль, ул. Бассейная, д. 8</t>
  </si>
  <si>
    <t>Г. Рославль, ул. Бассейная, д. 8а</t>
  </si>
  <si>
    <t>Г. Рославль, ул. Бассейная, д. 8б</t>
  </si>
  <si>
    <t>Г. Рославль, ул. Большая Смоленская, д. 1</t>
  </si>
  <si>
    <t>Г. Рославль, ул. Каляева, д. 81а</t>
  </si>
  <si>
    <t>Г. Рославль, ул. Карла Маркса, д. 1</t>
  </si>
  <si>
    <t>Г. Рославль, ул. Комсомольская, д. 5</t>
  </si>
  <si>
    <t>Г. Рославль, ул. Красина, д. 5</t>
  </si>
  <si>
    <t>Г. Рославль, ул. Ленина, д. 1</t>
  </si>
  <si>
    <t>Г. Рославль, ул. Пушкина, д. 18</t>
  </si>
  <si>
    <t>Г. Рославль, ул. Урицкого, д. 11а</t>
  </si>
  <si>
    <t>Г. Рославль, ул. Урицкого, д. 13</t>
  </si>
  <si>
    <t>Г. Рославль, ул. Урицкого, д. 16</t>
  </si>
  <si>
    <t>Г. Рославль, ул. Чехова, д. 2</t>
  </si>
  <si>
    <t>Г. Рославль, ул. Энгельса, д. 14</t>
  </si>
  <si>
    <t>Дер. Перенка, д. 19</t>
  </si>
  <si>
    <t>Дер. Ивановское, ул. Центральная, д. 9</t>
  </si>
  <si>
    <t>Дер. Козловка, ул. Мира, д. 21</t>
  </si>
  <si>
    <t>Дер. Козловка, ул. Мира, д. 25</t>
  </si>
  <si>
    <t>Дер. Козловка, ул. Мира, д. 35</t>
  </si>
  <si>
    <t>Дер. Козловка, ул. Мира, д. 37</t>
  </si>
  <si>
    <t>Дер. Перенка, д. 18</t>
  </si>
  <si>
    <t>Г. Рудня, ул. Льнозаводская, д. 32а</t>
  </si>
  <si>
    <t>Г. Рудня, пос. Молкомбината, д. 17</t>
  </si>
  <si>
    <t>Г. Рудня, ул. Заречная, д. 24</t>
  </si>
  <si>
    <t>Г. Рудня, ул. Станционная, д. 12</t>
  </si>
  <si>
    <t>Дер. Чистик, ул. Комсомольская, д. 7</t>
  </si>
  <si>
    <t>Дер. Чистик, ул. Школьная, д. 3</t>
  </si>
  <si>
    <t>Дер. Чистик, ул. Школьная, д. 5</t>
  </si>
  <si>
    <t>Дер. Чистик, ул. Школьная, д. 9</t>
  </si>
  <si>
    <t>Г. Сафоново, ул. Кирова, д. 10</t>
  </si>
  <si>
    <t>Г. Сафоново, ул. Кирова, д. 12</t>
  </si>
  <si>
    <t>Г. Сафоново, ул. Кирова, д. 4</t>
  </si>
  <si>
    <t>Г. Сафоново, ул. Коммунистическая, д. 15</t>
  </si>
  <si>
    <t>Г. Сафоново, ул. Ленина, д. 4</t>
  </si>
  <si>
    <t>Г. Сафоново, ул. Радищева, д. 16</t>
  </si>
  <si>
    <t>Г. Сафоново, ул. Свободы, д. 11</t>
  </si>
  <si>
    <t>Г. Сафоново, ул. Свободы, д. 15</t>
  </si>
  <si>
    <t>Г. Сафоново, ул. Свободы, д. 17</t>
  </si>
  <si>
    <t>Г. Сафоново, ул. Советская, д. 10</t>
  </si>
  <si>
    <t>Г. Сафоново, ул. Шахта-3, д. 5</t>
  </si>
  <si>
    <t>Г. Сафоново, ул. Шахта-3, д. 6</t>
  </si>
  <si>
    <t>Г. Сафоново, ул. Шахта-3, д. 7</t>
  </si>
  <si>
    <t>Г. Сафоново, ул. Шахта-3, д. 8</t>
  </si>
  <si>
    <t>Г. Сафоново, ул. Энгельса, д. 5</t>
  </si>
  <si>
    <t>Дер. Бараново, ул. Советская, д. 25</t>
  </si>
  <si>
    <t>Дер. Бараново, ул. Советская, д. 27</t>
  </si>
  <si>
    <t>С. Издешково, ул. 1-я Ленинская, д. 26</t>
  </si>
  <si>
    <t>С. Издешково, ул. 2-я Ленинская, д. 19</t>
  </si>
  <si>
    <t>С. Издешково, ул. 2-я Ленинская, д. 21</t>
  </si>
  <si>
    <t>С. Издешково, ул. 2-я Ленинская, д. 23</t>
  </si>
  <si>
    <t>Г. Смоленск, мкрн. Южный, д. 39б</t>
  </si>
  <si>
    <t>Г. Смоленск, пер. Смирнова, д. 3/4а</t>
  </si>
  <si>
    <t xml:space="preserve">Г. Смоленск, пер. Юннатов, д. 3 </t>
  </si>
  <si>
    <t>Г. Смоленск, просп. Гагарина, д. 29/1</t>
  </si>
  <si>
    <t>Г. Смоленск, ул. Ленина, д. 9</t>
  </si>
  <si>
    <t>Г. Смоленск, ул. Ленина, д. 11</t>
  </si>
  <si>
    <t>Г. Смоленск, ул. Матросова, д. 20</t>
  </si>
  <si>
    <t>Г. Смоленск, ул. Молодёжная, д. 12/4</t>
  </si>
  <si>
    <t>Г. Смоленск, ул. Нормандия-Неман, д. 18</t>
  </si>
  <si>
    <t>Г. Смоленск, ул. Нормандия-Неман, д. 20</t>
  </si>
  <si>
    <t>Г. Смоленск, ул. Нормандия-Неман, д. 24</t>
  </si>
  <si>
    <t>Г. Смоленск, ул. Соболева, д. 30</t>
  </si>
  <si>
    <t>Г. Смоленск, ул. Тухачевского, д. 9</t>
  </si>
  <si>
    <t>Дер. Волоковая, ул. Центральная, д. 2</t>
  </si>
  <si>
    <t>Дер. Волоковая, ул. Центральная, д. 4</t>
  </si>
  <si>
    <t>Дер. Волоковая, ул. Центральная, д. 6</t>
  </si>
  <si>
    <t>Дер. Волоковая, ул. Центральная, д. 8</t>
  </si>
  <si>
    <t>Дер. Новые Батеки, ул. Северная, д. 20</t>
  </si>
  <si>
    <t>Дер. Дивасы, ул. Мичурина, д. 2</t>
  </si>
  <si>
    <t>Дер. Дивасы, ул. Мичурина, д. 3</t>
  </si>
  <si>
    <t>Дер. Дивасы, ул. Мичурина, д. 4</t>
  </si>
  <si>
    <t>Дер. Дивасы, ул. Мичурина, д. 5</t>
  </si>
  <si>
    <t>С. Катынь, ул. Витебское шоссе, д. 2</t>
  </si>
  <si>
    <t>С. Катынь, ул. Витебское шоссе, д. 3</t>
  </si>
  <si>
    <t>Дер. Магалинщина, ул. Заречная, д. 5</t>
  </si>
  <si>
    <t>С. Печерск, ул. Автодорожная, д. 7</t>
  </si>
  <si>
    <t>С. Печерск, ул. Минская, д. 22</t>
  </si>
  <si>
    <t>С. Печерск, ул. Пионерская, д. 6</t>
  </si>
  <si>
    <t>Дер. Сметанино, ул. Ветеранов, д. 2</t>
  </si>
  <si>
    <t>Дер. Сметанино, ул. Ветеранов, д. 4</t>
  </si>
  <si>
    <t>Дер. Сметанино, ул. Ветеранов, д. 6</t>
  </si>
  <si>
    <t>Дер. Сметанино, ул. Озерная, д. 1</t>
  </si>
  <si>
    <t>Дер. Сметанино, ул. Озерная, д. 3</t>
  </si>
  <si>
    <t>С. Талашкино, ул. Ленина, д. 12а</t>
  </si>
  <si>
    <t>С. Талашкино, ул. Ленина, д. 14</t>
  </si>
  <si>
    <t>С. Талашкино, ул. Ленина, д. 17</t>
  </si>
  <si>
    <t>С. Талашкино, ул. Ленина, д. 18</t>
  </si>
  <si>
    <t>С. Талашкино, ул. Парковая, д. 4</t>
  </si>
  <si>
    <t>С. Талашкино, ул. Парковая, д. 8</t>
  </si>
  <si>
    <t>Дер. Лубня, ул. Мирная, д. 2</t>
  </si>
  <si>
    <t>Г. Сычевка, ул. Винокурова, д. 10</t>
  </si>
  <si>
    <t>Г. Сычевка, ул. Винокурова, д. 12</t>
  </si>
  <si>
    <t>Г. Сычевка, ул. Винокурова, д. 2</t>
  </si>
  <si>
    <t>Г. Сычевка, ул. Винокурова, д. 4</t>
  </si>
  <si>
    <t>Г. Сычевка, ул. Винокурова, д. 6</t>
  </si>
  <si>
    <t>Г. Сычевка, ул. Карла Маркса, д. 47</t>
  </si>
  <si>
    <t>Г. Сычевка, ул. Крыленко, д. 33</t>
  </si>
  <si>
    <t>Г. Сычевка, ул. Пионерская, д. 29</t>
  </si>
  <si>
    <t>Г. Сычевка, ул. Свободная, д. 37</t>
  </si>
  <si>
    <t>С. Темкино, ул. Привокзальная, д. 6</t>
  </si>
  <si>
    <t>С. Темкино, ул. Советская, д. 20</t>
  </si>
  <si>
    <t>С. Угра, ул. Краснознамённая, д. 29</t>
  </si>
  <si>
    <t>С. Угра, ул. Краснознамённая, д. 32</t>
  </si>
  <si>
    <t>Пгт Хиславичи, ул. Берестнева, д. 25</t>
  </si>
  <si>
    <t>Дер. Озерная, ул. Руссковская, д. 5а</t>
  </si>
  <si>
    <t>Г. Ярцево, просп. Металлургов, д. 29</t>
  </si>
  <si>
    <t>Г. Ярцево, просп. Металлургов, д. 39/19</t>
  </si>
  <si>
    <t>Г. Ярцево, ул. 50 лет Октября, д. 5</t>
  </si>
  <si>
    <t>Г. Ярцево, ул. Карла Маркса, д. 13</t>
  </si>
  <si>
    <t>Г. Ярцево, ул. ЛММС, д. 1</t>
  </si>
  <si>
    <t>Г. Ярцево, ул. Маршала Жукова, д. 7</t>
  </si>
  <si>
    <t>Г. Ярцево, ул. Ольховская, д. 17</t>
  </si>
  <si>
    <t>Г. Ярцево, ул. Ольховская, д. 19</t>
  </si>
  <si>
    <t>Г. Ярцево, ул. Советская, д. 19</t>
  </si>
  <si>
    <t>Г. Ярцево, ул. Советская, д. 21</t>
  </si>
  <si>
    <t>Г. Ярцево, ул. Чернышевского, д. 3</t>
  </si>
  <si>
    <t>Г. Ярцево, ул. Чайковского, д. 31</t>
  </si>
  <si>
    <t>Г. Ярцево, ул. Школьная, д. 9</t>
  </si>
  <si>
    <t>Г. Ярцево, ул. Шоссейная, д. 27</t>
  </si>
  <si>
    <t>Дер. Дивасы, ул. Мичурина, д. 1</t>
  </si>
  <si>
    <t>Г. Ярцево, ул. Автозаводская, д. 10</t>
  </si>
  <si>
    <t>Пгт Шумячи, ул. Садовая, д. 9а</t>
  </si>
  <si>
    <t>Пгт Шумячи, ул. Садовая, д. 11</t>
  </si>
  <si>
    <t>Г. Смоленск, ул. Пржевальского, д. 10</t>
  </si>
  <si>
    <t>Г. Рославль, мкрн. 16, д. 6</t>
  </si>
  <si>
    <t>Г. Сафоново, микрорайон-1, д. 17</t>
  </si>
  <si>
    <t>Г. Дорогобуж, ул. Мира, д. 38</t>
  </si>
  <si>
    <t>Г. Ярцево, ул. Автозаводская, д. 26</t>
  </si>
  <si>
    <t xml:space="preserve">Г. Ярцево, ул. Старозавопье, д. 1 </t>
  </si>
  <si>
    <t>Г. Смоленск, ул. Петра Алексеева, д. 5</t>
  </si>
  <si>
    <t>Г. Смоленск, ул. 25 Сентября, д. 42</t>
  </si>
  <si>
    <t>Г. Рославль, ул. Советская, д. 61</t>
  </si>
  <si>
    <t>Г. Демидов, ул. Нахаевская, д. 54а</t>
  </si>
  <si>
    <t>С. Ершичи, ул. Ленина, д. 80</t>
  </si>
  <si>
    <t>Г. Смоленск, ул. Маршала Еременко, 
д. 50</t>
  </si>
  <si>
    <t>Г. Вязьма, ул. Московская, д. 28</t>
  </si>
  <si>
    <t>Г. Гагарин, ул. Гагарина, д. 41</t>
  </si>
  <si>
    <t>Г. Сафоново, микрорайон-3, д. 2</t>
  </si>
  <si>
    <t>Г. Сафоново, микрорайон-1, д. 15</t>
  </si>
  <si>
    <t>Г. Сафоново, микрорайон-1, д. 28</t>
  </si>
  <si>
    <t>Г. Сафоново, микрорайон-1, д. 30</t>
  </si>
  <si>
    <t>Г. Сафоново, ул. Вахрушева, д. 17</t>
  </si>
  <si>
    <t>Г. Смоленск, ул. 3-я линия Красноармейской слободы, д. 10</t>
  </si>
  <si>
    <t>Г. Смоленск, ул. 3-я линия Красноармейской слободы, д. 6</t>
  </si>
  <si>
    <t>Г. Смоленск, мкрн. Королевка, д. 10</t>
  </si>
  <si>
    <t>Г. Смоленск, мкрн. Королевка, д. 11</t>
  </si>
  <si>
    <t>Г. Смоленск, мкрн. Королевка, д. 8</t>
  </si>
  <si>
    <t>Г. Смоленск, мкрн. Королевка, д. 9</t>
  </si>
  <si>
    <t>Г. Смоленск, пер. Киевский, д. 3</t>
  </si>
  <si>
    <t>Г. Смоленск, пер. 2-й Краснинский, д. 6б</t>
  </si>
  <si>
    <t>Г. Смоленск, пер. 2-й Краснинский, д. 14</t>
  </si>
  <si>
    <t>Г. Смоленск, пер. Смирнова, д. 7</t>
  </si>
  <si>
    <t>Г. Смоленск, пер. Юннатов, д. 1</t>
  </si>
  <si>
    <t>Г. Смоленск, пер. Юннатов, д. 5</t>
  </si>
  <si>
    <t>Г. Смоленск, просп. Гагарина, д. 26</t>
  </si>
  <si>
    <t>Г. Смоленск, просп. Гагарина, д. 30</t>
  </si>
  <si>
    <t>Г. Смоленск, просп. Гагарина, д. 32</t>
  </si>
  <si>
    <t>Г. Смоленск, просп. Гагарина, д. 39</t>
  </si>
  <si>
    <t>Г. Смоленск, просп. Гагарина, д. 48</t>
  </si>
  <si>
    <t>Г. Смоленск, просп. Гагарина, д. 70</t>
  </si>
  <si>
    <t>Г. Смоленск, просп. Гагарина, д. 76</t>
  </si>
  <si>
    <t>Г. Смоленск, просп. Строителей, д. 1/42</t>
  </si>
  <si>
    <t>Г. Смоленск, просп. Строителей, д. 13</t>
  </si>
  <si>
    <t>Г. Смоленск, пр. Маршала Конева, д. 29</t>
  </si>
  <si>
    <t>Г. Смоленск, ул. 25 Сентября, д. 30а</t>
  </si>
  <si>
    <t>Г. Смоленск, ул. 25 Сентября, д. 40</t>
  </si>
  <si>
    <t>Г. Смоленск, ул. 25 Сентября, д. 54</t>
  </si>
  <si>
    <t>Г. Смоленск, ул. 25 Сентября, д. 56</t>
  </si>
  <si>
    <t>Г. Смоленск, ул. Багратиона, д. 7</t>
  </si>
  <si>
    <t>Г. Смоленск, ул. Бородинская, д. 1</t>
  </si>
  <si>
    <t>Г. Смоленск, ул. Гарабурды, д. 23а</t>
  </si>
  <si>
    <t>Г. Смоленск, ул. Гарабурды, д. 25</t>
  </si>
  <si>
    <t>Г. Смоленск, ул. Дохтурова, д. 29</t>
  </si>
  <si>
    <t>Г. Смоленск, ул. Кирова, д. 15</t>
  </si>
  <si>
    <t>Г. Смоленск, ул. Кирова, д. 22д</t>
  </si>
  <si>
    <t>Г. Смоленск, ул. Кирова, д. 23</t>
  </si>
  <si>
    <t>Г. Смоленск, ул. Кирова, д. 27в</t>
  </si>
  <si>
    <t>Г. Смоленск, ул. Кирова, д. 28а</t>
  </si>
  <si>
    <t>Г. Смоленск, ул. Кирова, д. 29в</t>
  </si>
  <si>
    <t>Г. Смоленск, ул. Кирова, д. 32а</t>
  </si>
  <si>
    <t>Г. Смоленск, ул. Кирова, д. 34а</t>
  </si>
  <si>
    <t>Г. Смоленск, ул. Кирова, д. 53/11</t>
  </si>
  <si>
    <t>Г. Смоленск, ул. Кловская, д. 23</t>
  </si>
  <si>
    <t>Г. Смоленск, ул. Кловская, д. 25</t>
  </si>
  <si>
    <t>Г. Смоленск, ул. Крупской, д. 44б</t>
  </si>
  <si>
    <t>Г. Смоленск, ул. Лавочкина, д. 54е</t>
  </si>
  <si>
    <t>Г. Смоленск, ул. Ломоносова, д. 10а</t>
  </si>
  <si>
    <t>Г. Смоленск, ул. Марии Октябрьской, 
д. 18</t>
  </si>
  <si>
    <t>Г. Смоленск, ул. Марии Октябрьской, 
д. 20</t>
  </si>
  <si>
    <t>Г. Смоленск, ул. Марии Октябрьской, 
д. 22</t>
  </si>
  <si>
    <t>Г. Смоленск, ул. Маршала Еременко, 
д. 22</t>
  </si>
  <si>
    <t>Г. Смоленск, ул. Нахимова, д. 13в</t>
  </si>
  <si>
    <t>Г. Смоленск, ул. Нахимова, д. 13г</t>
  </si>
  <si>
    <t>Г. Смоленск, ул. Нахимова, д. 14</t>
  </si>
  <si>
    <t>Г. Смоленск, ул. Нахимова, д. 15</t>
  </si>
  <si>
    <t>Г. Смоленск, ул. Нахимова, д. 23</t>
  </si>
  <si>
    <t>Г. Смоленск, ул. Нахимова, д. 27</t>
  </si>
  <si>
    <t>Г. Смоленск, ул. Нахимова, д. 29</t>
  </si>
  <si>
    <t>Г. Смоленск, ул. Николаева, д. 12в</t>
  </si>
  <si>
    <t>Г. Смоленск, ул. Николаева, д. 19а</t>
  </si>
  <si>
    <t>Г. Смоленск, ул. Николаева, д. 21</t>
  </si>
  <si>
    <t>Г. Смоленск, ул. Николаева, д. 23</t>
  </si>
  <si>
    <t>Г. Смоленск, ул. Николаева, д. 25</t>
  </si>
  <si>
    <t>Г. Смоленск, ул. Николаева, д. 27</t>
  </si>
  <si>
    <t>Г. Смоленск, ул. Николаева, д. 27а</t>
  </si>
  <si>
    <t>Г. Смоленск, ул. Николаева, д. 31</t>
  </si>
  <si>
    <t>Г. Смоленск, ул. Николаева, д. 34в</t>
  </si>
  <si>
    <t>Г. Смоленск, ул. Нормандия-Неман, д. 23в</t>
  </si>
  <si>
    <t>Г. Смоленск, ул. Нормандия-Неман, д. 24б</t>
  </si>
  <si>
    <t>Г. Смоленск, ул. Нормандия-Неман, д. 24в</t>
  </si>
  <si>
    <t>Г. Смоленск, ул. Нормандия-Неман, д. 26</t>
  </si>
  <si>
    <t>Г. Смоленск, ул. Нормандия-Неман, д. 30</t>
  </si>
  <si>
    <t>Г. Смоленск, ул. Нормандия-Неман, д. 31</t>
  </si>
  <si>
    <t>Г. Смоленск, ул. Нормандия-Неман, д. 9</t>
  </si>
  <si>
    <t>Г. Смоленск, ул. Островского, д. 7</t>
  </si>
  <si>
    <t>Г. Смоленск, ул. Оршанская, д. 13</t>
  </si>
  <si>
    <t>Г. Смоленск, ул. Оршанская, д. 16</t>
  </si>
  <si>
    <t>Г. Смоленск, ул. Оршанская, д. 17</t>
  </si>
  <si>
    <t>Г. Смоленск, ул. Оршанская, д. 18</t>
  </si>
  <si>
    <t>Г. Смоленск, ул. Оршанская, д. 19</t>
  </si>
  <si>
    <t>Г. Смоленск, ул. Оршанская, д. 23</t>
  </si>
  <si>
    <t>Г. Смоленск, ул. Ново-Киевская, д. 2</t>
  </si>
  <si>
    <t>Г. Смоленск, ул. Ново-Киевская, д. 3</t>
  </si>
  <si>
    <t>Г. Смоленск, ул. Ново-Киевская, д. 4</t>
  </si>
  <si>
    <t>Г. Смоленск, ул. Ново-Киевская, д. 9</t>
  </si>
  <si>
    <t>Г. Смоленск, ул. Петра Алексеева, д. 15/70</t>
  </si>
  <si>
    <t>Г. Смоленск, ул. Петра Алексеева, д. 16</t>
  </si>
  <si>
    <t>Г. Смоленск, ул. Петра Алексеева, д. 2/37</t>
  </si>
  <si>
    <t>Г. Смоленск, ул. Петра Алексеева, д. 22/72</t>
  </si>
  <si>
    <t>Г. Смоленск, ул. Петра Алексеева, д. 4</t>
  </si>
  <si>
    <t>Г. Смоленск, ул. Петра Алексеева, д. 8</t>
  </si>
  <si>
    <t>Г. Смоленск, ул. Попова, д. 104</t>
  </si>
  <si>
    <t>Г. Смоленск, ул. Попова, д. 112</t>
  </si>
  <si>
    <t>Г. Смоленск, ул. Попова, д. 114</t>
  </si>
  <si>
    <t>Г. Смоленск, ул. Попова, д. 118</t>
  </si>
  <si>
    <t>Г. Смоленск, ул. Попова, д. 120</t>
  </si>
  <si>
    <t>Г. Смоленск, ул. Попова, д. 121</t>
  </si>
  <si>
    <t>Г. Смоленск, ул. Попова, д. 126</t>
  </si>
  <si>
    <t>Г. Смоленск, ул. Попова, д. 128</t>
  </si>
  <si>
    <t>Г. Смоленск, ул. Попова, д. 130</t>
  </si>
  <si>
    <t>Г. Смоленск, ул. Попова, д. 134</t>
  </si>
  <si>
    <t>Г. Смоленск, ул. Попова, д. 136</t>
  </si>
  <si>
    <t>Г. Смоленск, ул. Попова, д. 138</t>
  </si>
  <si>
    <t>Г. Смоленск, ул. Попова, д. 48</t>
  </si>
  <si>
    <t>Г. Смоленск, ул. Попова, д. 60</t>
  </si>
  <si>
    <t>Г. Смоленск, ул. Попова, д. 76</t>
  </si>
  <si>
    <t>Г. Смоленск, ул. Попова, д. 84</t>
  </si>
  <si>
    <t>Г. Смоленск, ул. Попова, д. 86</t>
  </si>
  <si>
    <t>Г. Смоленск, ул. Попова, д. 98</t>
  </si>
  <si>
    <t>Г. Смоленск, ул. Пржевальского, д. 7а</t>
  </si>
  <si>
    <t>Г. Смоленск, ул. Пригородная, д. 11</t>
  </si>
  <si>
    <t>Г. Смоленск, ул. Пригородная, д. 11а</t>
  </si>
  <si>
    <t>Г. Смоленск, ул. Пригородная, д. 7</t>
  </si>
  <si>
    <t>Г. Смоленск, ул. Рыленкова, д. 1</t>
  </si>
  <si>
    <t>Г. Смоленск, ул. Рыленкова, д. 19</t>
  </si>
  <si>
    <t>Г. Смоленск, ул. Рыленкова, д. 38</t>
  </si>
  <si>
    <t>Г. Смоленск, ул. Рыленкова, д. 42</t>
  </si>
  <si>
    <t>Г. Смоленск, ул. Рыленкова, д. 43</t>
  </si>
  <si>
    <t>Г. Смоленск, ул. Рыленкова, д. 44</t>
  </si>
  <si>
    <t>Г. Смоленск, ул. Рыленкова, д. 45</t>
  </si>
  <si>
    <t>Г. Смоленск, ул. Рыленкова, д. 46</t>
  </si>
  <si>
    <t>Г. Смоленск, ул. Рыленкова, д. 48</t>
  </si>
  <si>
    <t>Г. Смоленск, ул. Рыленкова, д. 49</t>
  </si>
  <si>
    <t>Г. Смоленск, ул. Рыленкова, д. 50</t>
  </si>
  <si>
    <t>Г. Смоленск, ул. Рыленкова, д. 61</t>
  </si>
  <si>
    <t>Г. Смоленск, ул. Рыленкова, д. 63</t>
  </si>
  <si>
    <t>Г. Смоленск, ул. Рыленкова, д. 66</t>
  </si>
  <si>
    <t>Г. Смоленск, ул. Рыленкова, д. 71</t>
  </si>
  <si>
    <t>Г. Смоленск, ул. Рыленкова, д. 73</t>
  </si>
  <si>
    <t>Г. Смоленск, ул. Рыленкова, д. 74</t>
  </si>
  <si>
    <t>Г. Смоленск, ул. Рыленкова, д. 77</t>
  </si>
  <si>
    <t>Г. Смоленск, ул. Рыленкова, д. 85</t>
  </si>
  <si>
    <t>Г. Смоленск, ул. Рыленкова, д. 87</t>
  </si>
  <si>
    <t>Г. Смоленск, ул. Рыленкова, д. 89</t>
  </si>
  <si>
    <t>Г. Смоленск, ул. Твардовского, д. 22</t>
  </si>
  <si>
    <t>Г. Смоленск, ул. Тенишевой, д. 19</t>
  </si>
  <si>
    <t>Г. Смоленск, ул. Толмачева, д. 5</t>
  </si>
  <si>
    <t>Г. Смоленск, ул. Толмачева, д. 8</t>
  </si>
  <si>
    <t>Г. Смоленск, ул. Шевченко, д. 1/35</t>
  </si>
  <si>
    <t>Г. Смоленск, ул. Шевченко, д. 3</t>
  </si>
  <si>
    <t>Г. Смоленск, Краснинское шоссе, д. 3б</t>
  </si>
  <si>
    <t>Г. Смоленск, Краснинское шоссе, д. 5</t>
  </si>
  <si>
    <t>Г. Ярцево, пер. Школьный, д. 1</t>
  </si>
  <si>
    <t>Г. Ярцево, просп. Металлургов, д. 11</t>
  </si>
  <si>
    <t>Г. Ярцево, просп. Металлургов, д. 12</t>
  </si>
  <si>
    <t>Г. Ярцево, просп. Металлургов, д. 14</t>
  </si>
  <si>
    <t>Г. Ярцево, просп. Металлургов, д. 15</t>
  </si>
  <si>
    <t>Г. Ярцево, просп. Металлургов, д. 16</t>
  </si>
  <si>
    <t>Г. Ярцево, просп. Металлургов, д. 17</t>
  </si>
  <si>
    <t>Г. Ярцево, просп. Металлургов, д. 19</t>
  </si>
  <si>
    <t>Г. Ярцево, просп. Металлургов, д. 2</t>
  </si>
  <si>
    <t>Г. Ярцево, просп. Металлургов, д. 22</t>
  </si>
  <si>
    <t>Г. Ярцево, просп. Металлургов, д. 23</t>
  </si>
  <si>
    <t>Г. Ярцево, просп. Металлургов, д. 27</t>
  </si>
  <si>
    <t>Г. Ярцево, просп. Металлургов, д. 28</t>
  </si>
  <si>
    <t>Г. Ярцево, просп. Металлургов, д. 31</t>
  </si>
  <si>
    <t>Г. Ярцево, просп. Металлургов, д. 32</t>
  </si>
  <si>
    <t>Г. Ярцево, просп. Металлургов, д. 34</t>
  </si>
  <si>
    <t>Г. Ярцево, просп. Металлургов, д. 36</t>
  </si>
  <si>
    <t>Г. Ярцево, просп. Металлургов, д. 37</t>
  </si>
  <si>
    <t>Г. Ярцево, просп. Металлургов, д. 38</t>
  </si>
  <si>
    <t>Г. Ярцево, просп. Металлургов, д. 44</t>
  </si>
  <si>
    <t>Г. Ярцево, просп. Металлургов, д. 50</t>
  </si>
  <si>
    <t>Г. Ярцево, просп. Металлургов, д. 52</t>
  </si>
  <si>
    <t>Г. Ярцево, просп. Металлургов, д. 56</t>
  </si>
  <si>
    <t>Г. Ярцево, просп. Металлургов, д. 6</t>
  </si>
  <si>
    <t>Г. Ярцево, просп. Металлургов, д. 7</t>
  </si>
  <si>
    <t>Г. Ярцево, просп. Металлургов, д. 8</t>
  </si>
  <si>
    <t>Г. Ярцево, просп. Металлургов, д. 9</t>
  </si>
  <si>
    <t>Г. Ярцево, ул. Автозаводская, д. 14</t>
  </si>
  <si>
    <t>Г. Ярцево, ул. Автозаводская, д. 2</t>
  </si>
  <si>
    <t>Г. Ярцево, ул. Автозаводская, д. 20</t>
  </si>
  <si>
    <t>Г. Ярцево, ул. Автозаводская, д. 22</t>
  </si>
  <si>
    <t>Г. Ярцево, ул. Автозаводская, д. 30</t>
  </si>
  <si>
    <t>Г. Ярцево, ул. Автозаводская, д. 34</t>
  </si>
  <si>
    <t>Г. Ярцево, ул. Автозаводская, д. 36</t>
  </si>
  <si>
    <t>Г. Ярцево, ул. Космонавтов, д. 57</t>
  </si>
  <si>
    <t>Г. Ярцево, ул. Максима Горького, д. 55</t>
  </si>
  <si>
    <t>Г. Ярцево, ул. Старозавопье, д. 3</t>
  </si>
  <si>
    <t>Г. Ярцево, ул. Старозавопье, д. 5</t>
  </si>
  <si>
    <t>Г. Ярцево, ул. Школьная, д. 16</t>
  </si>
  <si>
    <t>Г. Ярцево, ул. Энтузиастов, д. 13</t>
  </si>
  <si>
    <t>Г. Ярцево, ул. Энтузиастов, д. 13а</t>
  </si>
  <si>
    <t>Г. Ярцево, ул. Энтузиастов, д. 15</t>
  </si>
  <si>
    <t>Г. Ярцево, ул. Энтузиастов, д. 17</t>
  </si>
  <si>
    <t>Г. Ярцево, ул. Энтузиастов, д. 35</t>
  </si>
  <si>
    <t>Г. Ярцево, ул. Энтузиастов, д. 37</t>
  </si>
  <si>
    <t>Г. Ярцево, ул. Энтузиастов, д. 39</t>
  </si>
  <si>
    <t>Г. Ярцево, ул. Энтузиастов, д. 41</t>
  </si>
  <si>
    <t>Пгт Озерный, ул. Строителей, д. 7</t>
  </si>
  <si>
    <t>Г. Починок, 1 мкрн., д. 6</t>
  </si>
  <si>
    <t>Г. Смоленск, ул. Крупской, д. 55а</t>
  </si>
  <si>
    <t>Г. Смоленск, ул. Попова, д. 116</t>
  </si>
  <si>
    <t>Г. Смоленск, ул. Попова, д. 117</t>
  </si>
  <si>
    <t>Г. Смоленск, ул. Рыленкова, д. 49а</t>
  </si>
  <si>
    <t>Пгт Хиславичи, ул. Берестнева, д. 28</t>
  </si>
  <si>
    <t>Г. Ярцево, ул. Ольховская, д. 15</t>
  </si>
  <si>
    <t>Г. Смоленск, ул. Твардовского, д. 20а</t>
  </si>
  <si>
    <t>Г. Смоленск, ул. Твардовского, д. 22а</t>
  </si>
  <si>
    <t>Г. Смоленск, ул. Твардовского, д. 22б</t>
  </si>
  <si>
    <t>Г. Смоленск, ул. Толмачева, д. 5а</t>
  </si>
  <si>
    <t>Г. Смоленск, бульвар Гагарина, д. 2/9</t>
  </si>
  <si>
    <t>Пгт Верхнеднепровский, просп. Химиков, д. 10</t>
  </si>
  <si>
    <t>Пгт Монастырщина, тер. Сельхозтехника, д. 15</t>
  </si>
  <si>
    <t>Пгт Монастырщина, тер. Сельхозтехника, д. 20</t>
  </si>
  <si>
    <t>Пгт Монастырщина, тер. Сельхозтехника, д. 21</t>
  </si>
  <si>
    <t>Г. Гагарин, ул. Строителей, д. 151а,
 корпус 1</t>
  </si>
  <si>
    <t>Пгт Верхнеднепровский, ул. Советская, 
д. 11</t>
  </si>
  <si>
    <t>Пгт Верхнеднепровский, ул. Советская, 
д. 13</t>
  </si>
  <si>
    <t>Пгт Верхнеднепровский, ул. Советская, 
д. 15</t>
  </si>
  <si>
    <t>Пгт Верхнеднепровский, ул. Советская, 
д. 17</t>
  </si>
  <si>
    <t>Пгт Верхнеднепровский, ул. Советская, 
д. 19</t>
  </si>
  <si>
    <t>Дер. Николо-Погорелое, 
ул. Комсомольская, д. 6</t>
  </si>
  <si>
    <t>Дер. Николо-Погорелое, ул. Центральная, 
д. 4</t>
  </si>
  <si>
    <t>Г. Смоленск, пос. Красный Бор, в/ч 83283, 
д. 6</t>
  </si>
  <si>
    <t>Г. Смоленск, ул. 25 Сентября, д. 62,
корпус 1</t>
  </si>
  <si>
    <t>Г. Смоленск, ул. 25 Сентября, д. 62, 
корпус 2</t>
  </si>
  <si>
    <t>Г. Смоленск, ул. Маршала Соколовского, 
д. 13</t>
  </si>
  <si>
    <t>Г. Смоленск, ул. Маршала Соколовского, 
д. 13а</t>
  </si>
  <si>
    <t>Г. Смоленск, ул. Маршала Соколовского, 
д. 14</t>
  </si>
  <si>
    <t>Г. Смоленск, ул. Маршала Соколовского, 
д. 15</t>
  </si>
  <si>
    <t>Г. Смоленск, ул. Маршала Соколовского, 
д. 22</t>
  </si>
  <si>
    <t>Г. Смоленск, ул. Московское шоссе, 
д. 140</t>
  </si>
  <si>
    <t>Г. Смоленск, ул. Ново-Ленинградская, 
д. 18</t>
  </si>
  <si>
    <t>Г. Смоленск, ул. Нормандия-Неман, д. 11, 
корпус 1</t>
  </si>
  <si>
    <t>Г. Смоленск, ул. Нормандия-Неман, д. 11, 
корпус 2</t>
  </si>
  <si>
    <t>Г. Смоленск, ул. Нормандия-Неман, д. 13, 
корпус 1</t>
  </si>
  <si>
    <t>Г. Смоленск, ул. Нормандия-Неман, д. 13, 
корпус 2</t>
  </si>
  <si>
    <t>Г. Смоленск, ул. Нормандия-Неман, д. 19, 
корпус 2</t>
  </si>
  <si>
    <t>Г. Смоленск, ул. Октябрьской революции, 
д. 4</t>
  </si>
  <si>
    <t>Г. Смоленск, ул. Октябрьской революции, 
д. 12</t>
  </si>
  <si>
    <t>Г. Смоленск, ул. Октябрьской революции, 
д. 13а</t>
  </si>
  <si>
    <t>Г. Смоленск, ул. Петра Алексеева, д. 11, 
корпус 1</t>
  </si>
  <si>
    <t>Г. Смоленск, ул. Петра Алексеева, д. 11, 
корпус 3, 4</t>
  </si>
  <si>
    <t xml:space="preserve">Дер. Мальцево, ул. Набережная Вазузы, 
д. 2 </t>
  </si>
  <si>
    <t>Г. Сычевка, ул. Большая Пролетарская, 
д. 9</t>
  </si>
  <si>
    <t>Пгт Холм-Жирковский, ул. Карла Маркса, 
д. 7</t>
  </si>
  <si>
    <t xml:space="preserve">Пгт Холм-Жирковский, ул. Московская, 
д. 14 </t>
  </si>
  <si>
    <t>Дер. Капыревщина, ул. Магистральная, 
д. 21а</t>
  </si>
  <si>
    <t>Дер. Октябрьский, ул. Железнодорожная, 
д. 6</t>
  </si>
  <si>
    <t>Дер. Тюхменево, ул. Карьероуправления, 
д. 9</t>
  </si>
  <si>
    <t>Дер. Тюхменево, ул. Карьероуправления, 
д. 11</t>
  </si>
  <si>
    <t>Дер. Тюхменево, ул. Карьероуправления, 
д. 12</t>
  </si>
  <si>
    <t>Дер. Тюхменево, ул. Карьероуправления, 
д. 15</t>
  </si>
  <si>
    <t>Дер. Царево-Займище, ул. М.И. Кутузова, 
д. 17</t>
  </si>
  <si>
    <t>Пгт Верхнеднепровский, просп. Химиков, 
д. 2</t>
  </si>
  <si>
    <t>Пгт Верхнеднепровский, просп. Химиков, 
д. 4</t>
  </si>
  <si>
    <t>Пгт Верхнеднепровский, просп. Химиков, 
д. 6</t>
  </si>
  <si>
    <t>Пгт Верхнеднепровский, просп. Химиков, 
д. 8</t>
  </si>
  <si>
    <t>Пгт Верхнеднепровский, просп. Химиков, 
д. 12</t>
  </si>
  <si>
    <t>Пгт Верхнеднепровский, просп. Химиков, 
д. 14</t>
  </si>
  <si>
    <t>Пгт Верхнеднепровский, 
ул. Ленина, д. 10а</t>
  </si>
  <si>
    <t>Пгт Верхнеднепровский, 
ул. Ленина, д. 11</t>
  </si>
  <si>
    <t>Пгт Верхнеднепровский, 
ул. Ленина, д. 13</t>
  </si>
  <si>
    <t>Пгт Верхнеднепровский, 
ул. Ленина, д. 20</t>
  </si>
  <si>
    <t>Пгт Верхнеднепровский, 
ул. Ленина, д. 22</t>
  </si>
  <si>
    <t>Пгт Верхнеднепровский, 
ул. Молодежная, д. 14</t>
  </si>
  <si>
    <t>Пгт Верхнеднепровский, 
ул. Молодежная, д. 16</t>
  </si>
  <si>
    <t>Пгт Верхнеднепровский, 
ул. Молодежная, д. 18</t>
  </si>
  <si>
    <t>Пгт Верхнеднепровский, 
ул. Молодежная, д. 24</t>
  </si>
  <si>
    <t>Пгт Верхнеднепровский, 
ул. Молодежная, д. 26</t>
  </si>
  <si>
    <t>Дер. Большое Береснево, ул. Приозерная, 
д. 14</t>
  </si>
  <si>
    <t>Дер. Большое Береснево, ул. Приозерная, 
д. 8</t>
  </si>
  <si>
    <t xml:space="preserve">Пгт Монастырщина, тер. Сельхозтехника, 
д. 20 </t>
  </si>
  <si>
    <t>Пгт Монастырщина, 
ул. 1-я Северная, д. 1а</t>
  </si>
  <si>
    <t>Г. Рославль, пер. 4-й Смоленский, д. 49, 
корпус 1</t>
  </si>
  <si>
    <t>Г. Рославль, пер. 4-й Смоленский, д. 49, 
корпус 2</t>
  </si>
  <si>
    <t>С. Богданово, ул. Имени Колхоза 
Быстрые волны, д. 3</t>
  </si>
  <si>
    <t>Дер. Николо-Погорелое, 
ул. Днепровская, д. 8</t>
  </si>
  <si>
    <t>Г. Смоленск, пер. 4-й Слобода-Садки, 
д. 15</t>
  </si>
  <si>
    <t>Г. Смоленск, пер. 4-й Слобода-Садки, 
д. 35</t>
  </si>
  <si>
    <t>Г. Смоленск, пер. Киевский, д. 16, 
корпус 2</t>
  </si>
  <si>
    <t>Г. Смоленск, 
пер. Ново-Чернушенский, д. 2</t>
  </si>
  <si>
    <t>Г. Смоленск, пос. Красный Бор, 
в/ч 83283, д. 4</t>
  </si>
  <si>
    <t>Г. Смоленск, пос. Красный Бор, 
в/ч 83283, д. 8</t>
  </si>
  <si>
    <t>Г. Смоленск, 
ул. Валентины Гризодубовой, д. 2</t>
  </si>
  <si>
    <t>Г. Смоленск, 
ул. Ново-Краснофлотская, д. 7</t>
  </si>
  <si>
    <t>Г. Смоленск, 
ул. Ново-Краснофлотская, д. 13</t>
  </si>
  <si>
    <t>Г. Смоленск, 
ул. Ново-Рославльская, д. 4</t>
  </si>
  <si>
    <t>Г. Смоленск, ул. Нормандия-Неман, д. 19, 
корпус 1</t>
  </si>
  <si>
    <t>Г. Смоленск, 
ул. Октябрьской революции, д. 3</t>
  </si>
  <si>
    <t>Г. Смоленск, 
ул. Октябрьской революции, д. 3а</t>
  </si>
  <si>
    <t>Г. Смоленск, 
ул. Октябрьской революции, д. 18</t>
  </si>
  <si>
    <t>Г. Смоленск, 
ул. Октябрьской революции, д. 20</t>
  </si>
  <si>
    <t>Г. Смоленск, 
ул. Октябрьской революции, д. 22</t>
  </si>
  <si>
    <t>Г. Смоленск, 
ул. Средне-Лермонтовская, д. 20/4</t>
  </si>
  <si>
    <t>Пгт Хиславичи, 
пер. Кооперативный, д. 2</t>
  </si>
  <si>
    <t>Пгт Холм-Жирковский, 
ул. Октябрьская, д. 31</t>
  </si>
  <si>
    <t>Пгт Холм-Жирковский, 
ул. Октябрьская, д. 33</t>
  </si>
  <si>
    <t>Дер. Капыревщина, 
ул. Магистральная, д. 21</t>
  </si>
  <si>
    <t>Г. Вязьма, 
ул. Красноармейское шоссе, д. 1</t>
  </si>
  <si>
    <t>Г. Вязьма, 
ул. Красноармейское шоссе, д. 5а</t>
  </si>
  <si>
    <t>Г. Вязьма, 
ул. Красноармейское шоссе, д. 9а</t>
  </si>
  <si>
    <t>Г. Вязьма, 
ул. Красноармейское шоссе, д. 11а</t>
  </si>
  <si>
    <t>Дер. Октябрьский, 
ул. Железнодорожная, д. 5</t>
  </si>
  <si>
    <t>Дер. Тюхменево, 
ул. Карьероуправления, д. 12а</t>
  </si>
  <si>
    <t>Дер. Тюхменево, 
ул. Карьероуправления, д. 14</t>
  </si>
  <si>
    <t>Г. Гагарин, 
ул. 26 Бакинских комиссаров, д. 9</t>
  </si>
  <si>
    <t>Пгт Верхнеднепровский, 
ул. Молодежная, д. 12</t>
  </si>
  <si>
    <t>Пгт Верхнеднепровский, 
ул. Молодежная, д. 20</t>
  </si>
  <si>
    <t>Пгт Верхнеднепровский, 
ул. Молодежная, д. 22</t>
  </si>
  <si>
    <t>Пгт Верхнеднепровский, 
ул. Советская, д. 13</t>
  </si>
  <si>
    <t>Пгт Верхнеднепровский, 
ул. Советская, д. 15</t>
  </si>
  <si>
    <t>Пгт Верхнеднепровский, 
ул. Советская, д. 17</t>
  </si>
  <si>
    <t>Пгт Верхнеднепровский, 
ул. Советская, д. 19</t>
  </si>
  <si>
    <t>Пгт Верхнеднепровский, 
ул. Советская, д. 22</t>
  </si>
  <si>
    <t>Дер. Пищулино, 
ул. Школа-интернат, д. 14</t>
  </si>
  <si>
    <t>Дер. Пищулино, 
ул. Школа-интернат, д. 15</t>
  </si>
  <si>
    <t>Пгт Кардымово, 
ул. Красноармейская, д. 18</t>
  </si>
  <si>
    <t>Пгт Монастырщина, 
ул. Пролетарская, д. 15</t>
  </si>
  <si>
    <t>Дер. Малые Кириллы, 
ул. ПМК-24 Ельнинская, д. 2а</t>
  </si>
  <si>
    <t>Дер. Малые Кириллы, 
ул. ПМК-24 Ельнинская, д. 4а</t>
  </si>
  <si>
    <t>Дер. Малые Кириллы, 
ул. Строителей, д. 5а</t>
  </si>
  <si>
    <t>Дер. Малые Кириллы, 
ул. Головлева, д. 89</t>
  </si>
  <si>
    <t>С. Понизовье, 
ул. им. Чибисова К.Н., д. 5</t>
  </si>
  <si>
    <t>С. Понизовье, 
ул. им. Чибисова К.Н., д. 26</t>
  </si>
  <si>
    <t xml:space="preserve">С. Понизовье, 
ул. им. Чибисова К.Н., д. 28 </t>
  </si>
  <si>
    <t>Дер. Николо-Погорелое, 
ул. Центральная, д. 2</t>
  </si>
  <si>
    <t>Г. Смоленск, 
пер. 2-й Краснофлотский, д. 36</t>
  </si>
  <si>
    <t>Г. Смоленск, 
пер. 2-й Краснофлотский, д. 38</t>
  </si>
  <si>
    <t>Г. Смоленск, 
пер. 2-й Краснофлотский, д. 40</t>
  </si>
  <si>
    <t>Г. Смоленск, 
пер. Зои Космодемьянской, д. 2</t>
  </si>
  <si>
    <t>Г. Смоленск, 
пер. Зои Космодемьянской, д. 4</t>
  </si>
  <si>
    <t>Г. Смоленск, 
пер. Ново-Чернушенский, д. 1/2</t>
  </si>
  <si>
    <t>Г. Смоленск, 
пос. Красный Бор, в/ч 83283, д. 9</t>
  </si>
  <si>
    <t>Г. Смоленск, 
пос. Торфопредприятие, д. 44</t>
  </si>
  <si>
    <t>Г. Смоленск, 
пос. Торфопредприятие, д. 46</t>
  </si>
  <si>
    <t>Г. Смоленск, 
пос. Торфопредприятие, д. 57</t>
  </si>
  <si>
    <t>Г. Смоленск, 
пос. Торфопредприятие, д. 59</t>
  </si>
  <si>
    <t>Г. Смоленск, просп. Строителей, д. 4, 
корпус 1</t>
  </si>
  <si>
    <t>Г. Смоленск, просп. Строителей, д. 4, 
корпус 2</t>
  </si>
  <si>
    <t>Г. Смоленск, ул. 2-я линия 
Красноармейской слободы, д. 3</t>
  </si>
  <si>
    <t>Г. Смоленск, ул. 2-я линия 
Красноармейской слободы, д. 7</t>
  </si>
  <si>
    <t>Г. Смоленск, 
ул. Валентины Гризодубовой, д. 3</t>
  </si>
  <si>
    <t>Г. Смоленск, 
ул. Мало-Краснофлотская, д. 29в</t>
  </si>
  <si>
    <t>Г. Смоленск, 
ул. Мало-Краснофлотская, д. 33а</t>
  </si>
  <si>
    <t>Г. Смоленск, 
ул. Марии Октябрьской, д. 12б</t>
  </si>
  <si>
    <t>Г. Смоленск, 
ул. Марины Расковой, д. 4, корпус 1</t>
  </si>
  <si>
    <t>Г. Смоленск, 
ул. Марины Расковой, д. 4, корпус 2</t>
  </si>
  <si>
    <t>Г. Смоленск, 
ул. Маршала Соколовского, д. 1</t>
  </si>
  <si>
    <t>Г. Смоленск, 
ул. Маршала Соколовского, д. 2</t>
  </si>
  <si>
    <t>Г. Смоленск, 
ул. Маршала Соколовского, д. 4</t>
  </si>
  <si>
    <t>Г. Смоленск, 
ул. Маршала Соколовского, д. 4а</t>
  </si>
  <si>
    <t>Г. Смоленск, 
ул. Маршала Соколовского, д. 4б</t>
  </si>
  <si>
    <t>Г. Смоленск, 
ул. Маршала Соколовского, д. 5</t>
  </si>
  <si>
    <t>Г. Смоленск, 
ул. Маршала Соколовского, д. 5а</t>
  </si>
  <si>
    <t>Г. Смоленск, 
ул. Маршала Соколовского, д. 5б</t>
  </si>
  <si>
    <t>Г. Смоленск, 
ул. Маршала Соколовского, д. 5в</t>
  </si>
  <si>
    <t>Г. Смоленск, 
ул. Маршала Соколовского, д. 7</t>
  </si>
  <si>
    <t>Г. Смоленск, 
ул. Маршала Соколовского, д. 7а</t>
  </si>
  <si>
    <t>Г. Смоленск, 
ул. Маршала Соколовского, д. 8а</t>
  </si>
  <si>
    <t>Г. Смоленск, 
ул. Маршала Соколовского, д. 9</t>
  </si>
  <si>
    <t>Г. Смоленск, 
ул. Маршала Соколовского, д. 9а</t>
  </si>
  <si>
    <t>Г. Смоленск, 
ул. Маршала Соколовского, д. 9б</t>
  </si>
  <si>
    <t>Г. Смоленск, 
ул. Маршала Соколовского, д. 9в</t>
  </si>
  <si>
    <t>Г. Смоленск, 
ул. Маршала Соколовского, д. 10</t>
  </si>
  <si>
    <t>Г. Смоленск, 
ул. Маршала Соколовского, д. 10а</t>
  </si>
  <si>
    <t>Г. Смоленск, 
ул. Маршала Соколовского, д. 11</t>
  </si>
  <si>
    <t>Г. Смоленск, 
ул. Маршала Соколовского, д. 12</t>
  </si>
  <si>
    <t>Г. Смоленск, 
ул. Маршала Соколовского, д. 14а</t>
  </si>
  <si>
    <t>Г. Смоленск, 
ул. Маршала Соколовского, д. 14б</t>
  </si>
  <si>
    <t>Г. Смоленск, 
ул. Маршала Соколовского, д. 14в</t>
  </si>
  <si>
    <t>Г. Смоленск, 
ул. Ново-Краснофлотская, д. 9</t>
  </si>
  <si>
    <t>Г. Смоленск, 
ул. Ново-Краснофлотская, д. 15</t>
  </si>
  <si>
    <t>Г. Смоленск, 
ул. Ново-Ленинградская, д. 5а</t>
  </si>
  <si>
    <t>Г. Смоленск, 
ул. Нормандия-Неман, д. 17, корпус 1</t>
  </si>
  <si>
    <t>Г. Смоленск, 
ул. Октябрьской революции, д. 26</t>
  </si>
  <si>
    <t>Г. Смоленск, 
ул. Октябрьской революции, д. 28</t>
  </si>
  <si>
    <t>Г. Смоленск, 
ул. Октябрьской революции, д. 32</t>
  </si>
  <si>
    <t>Г. Смоленск, 
ул. Октябрьской революции, д. 36</t>
  </si>
  <si>
    <t>Г. Смоленск, 
ул. Октябрьской революции, д. 38</t>
  </si>
  <si>
    <t>Г. Смоленск, 
ул. Рыленкова, д. 6а, корпус 2</t>
  </si>
  <si>
    <t>Г. Смоленск, 
ул. Средне-Лермонтовская, д. 29</t>
  </si>
  <si>
    <t>Г. Сычевка, 
ул. Большая Пролетарская, д. 44а</t>
  </si>
  <si>
    <t>Г. Сычевка, 
ул. Большая Пролетарская, д. 67</t>
  </si>
  <si>
    <t>Г. Сычевка, 
ул. Станционное Шоссе, д. 3</t>
  </si>
  <si>
    <t>Г. Сычевка, 
ул. Станционное Шоссе, д. 3а</t>
  </si>
  <si>
    <t>Пгт Монастырщина, 
ул. Революционная, д.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</si>
</sst>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.00"/>
  </numFmts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74">
    <xf numFmtId="0" fontId="0" fillId="0" borderId="0" xfId="0"/>
    <xf numFmtId="4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 textRotation="90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4" fontId="5" fillId="0" borderId="9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justify" vertical="center" wrapText="1"/>
    </xf>
    <xf numFmtId="49" fontId="1" fillId="0" borderId="9" xfId="0" applyNumberFormat="1" applyFont="1" applyBorder="1" applyAlignment="1" applyProtection="1">
      <alignment horizontal="left" vertical="center" wrapText="1"/>
      <protection hidden="1"/>
    </xf>
    <xf numFmtId="0" fontId="1" fillId="0" borderId="9" xfId="1" applyFont="1" applyBorder="1" applyAlignment="1" applyProtection="1">
      <alignment horizontal="left" vertical="center" wrapText="1"/>
      <protection locked="0"/>
    </xf>
    <xf numFmtId="49" fontId="1" fillId="0" borderId="9" xfId="0" quotePrefix="1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left" vertical="center" wrapText="1"/>
    </xf>
    <xf numFmtId="4" fontId="1" fillId="0" borderId="9" xfId="0" applyNumberFormat="1" applyFont="1" applyBorder="1" applyAlignment="1">
      <alignment horizontal="center" vertical="center" wrapText="1" readingOrder="1"/>
    </xf>
    <xf numFmtId="0" fontId="8" fillId="0" borderId="0" xfId="0" applyFont="1"/>
    <xf numFmtId="0" fontId="0" fillId="0" borderId="9" xfId="0" applyBorder="1"/>
    <xf numFmtId="4" fontId="3" fillId="0" borderId="9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/>
    </xf>
    <xf numFmtId="0" fontId="0" fillId="0" borderId="13" xfId="0" applyBorder="1"/>
    <xf numFmtId="49" fontId="1" fillId="0" borderId="14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top"/>
    </xf>
    <xf numFmtId="4" fontId="1" fillId="0" borderId="11" xfId="0" applyNumberFormat="1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top" wrapText="1"/>
    </xf>
    <xf numFmtId="4" fontId="1" fillId="0" borderId="7" xfId="0" applyNumberFormat="1" applyFont="1" applyBorder="1" applyAlignment="1">
      <alignment horizontal="center" vertical="top" wrapText="1"/>
    </xf>
    <xf numFmtId="4" fontId="1" fillId="0" borderId="13" xfId="0" applyNumberFormat="1" applyFont="1" applyBorder="1" applyAlignment="1">
      <alignment horizontal="center" vertical="top" wrapText="1"/>
    </xf>
    <xf numFmtId="4" fontId="1" fillId="0" borderId="11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top" wrapText="1"/>
    </xf>
    <xf numFmtId="4" fontId="1" fillId="0" borderId="10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_Перечень жилого фонда не выбравших способ управления" xfId="1" xr:uid="{00000000-0005-0000-0000-000002000000}"/>
  </cellStyles>
  <dxfs count="0"/>
  <tableStyles count="0" defaultTableStyle="TableStyleMedium2" defaultPivotStyle="PivotStyleLight16"/>
  <colors>
    <mruColors>
      <color rgb="FFF688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008"/>
  <sheetViews>
    <sheetView tabSelected="1" view="pageBreakPreview" topLeftCell="W1" zoomScale="85" zoomScaleNormal="10" zoomScaleSheetLayoutView="85" zoomScalePageLayoutView="70" workbookViewId="0">
      <selection activeCell="AE1" sqref="AE1:XFD1048576"/>
    </sheetView>
  </sheetViews>
  <sheetFormatPr defaultRowHeight="15" x14ac:dyDescent="0.25"/>
  <cols>
    <col min="1" max="1" width="9.140625" hidden="1" customWidth="1"/>
    <col min="2" max="2" width="8.140625" customWidth="1"/>
    <col min="3" max="3" width="43.28515625" style="37" customWidth="1"/>
    <col min="4" max="4" width="22.42578125" style="36" customWidth="1"/>
    <col min="5" max="5" width="23.42578125" customWidth="1"/>
    <col min="6" max="6" width="20.5703125" customWidth="1"/>
    <col min="7" max="7" width="20.140625" customWidth="1"/>
    <col min="8" max="8" width="22.7109375" customWidth="1"/>
    <col min="9" max="9" width="21" customWidth="1"/>
    <col min="10" max="10" width="22.42578125" customWidth="1"/>
    <col min="11" max="11" width="12.7109375" customWidth="1"/>
    <col min="12" max="12" width="11.42578125" customWidth="1"/>
    <col min="13" max="13" width="20.5703125" customWidth="1"/>
    <col min="14" max="14" width="16" customWidth="1"/>
    <col min="15" max="15" width="20.42578125" customWidth="1"/>
    <col min="16" max="16" width="14.42578125" customWidth="1"/>
    <col min="17" max="17" width="17" customWidth="1"/>
    <col min="18" max="18" width="18.5703125" customWidth="1"/>
    <col min="19" max="19" width="19.42578125" customWidth="1"/>
    <col min="20" max="20" width="18.28515625" customWidth="1"/>
    <col min="21" max="21" width="18.140625" customWidth="1"/>
    <col min="22" max="22" width="16.42578125" customWidth="1"/>
    <col min="23" max="25" width="17.7109375" customWidth="1"/>
    <col min="26" max="26" width="15.7109375" customWidth="1"/>
    <col min="27" max="27" width="17.85546875" customWidth="1"/>
    <col min="28" max="28" width="22.85546875" customWidth="1"/>
    <col min="29" max="29" width="13.140625" customWidth="1"/>
    <col min="30" max="30" width="24.140625" style="40" customWidth="1"/>
  </cols>
  <sheetData>
    <row r="1" spans="1:30" ht="16.5" x14ac:dyDescent="0.25">
      <c r="A1" s="9"/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50"/>
    </row>
    <row r="2" spans="1:30" ht="15.75" x14ac:dyDescent="0.25">
      <c r="A2" s="9"/>
      <c r="B2" s="41"/>
      <c r="C2" s="42"/>
      <c r="D2" s="43"/>
      <c r="E2" s="43"/>
      <c r="F2" s="43"/>
      <c r="G2" s="43"/>
      <c r="H2" s="43"/>
      <c r="I2" s="43"/>
      <c r="J2" s="43"/>
      <c r="K2" s="43"/>
      <c r="L2" s="44"/>
      <c r="M2" s="43"/>
      <c r="N2" s="43"/>
      <c r="O2" s="43"/>
      <c r="P2" s="43"/>
      <c r="Q2" s="43"/>
      <c r="R2" s="43"/>
      <c r="S2" s="43"/>
      <c r="T2" s="43"/>
      <c r="U2" s="45"/>
      <c r="V2" s="45"/>
      <c r="W2" s="45"/>
      <c r="X2" s="45"/>
      <c r="Y2" s="45"/>
      <c r="Z2" s="45"/>
      <c r="AA2" s="45"/>
      <c r="AB2" s="45"/>
      <c r="AC2" s="45"/>
      <c r="AD2" s="46"/>
    </row>
    <row r="3" spans="1:30" ht="58.5" customHeight="1" x14ac:dyDescent="0.25">
      <c r="A3" s="51"/>
      <c r="B3" s="54" t="s">
        <v>1</v>
      </c>
      <c r="C3" s="57" t="s">
        <v>2</v>
      </c>
      <c r="D3" s="58" t="s">
        <v>3</v>
      </c>
      <c r="E3" s="61" t="s">
        <v>29</v>
      </c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3"/>
      <c r="U3" s="61" t="s">
        <v>4</v>
      </c>
      <c r="V3" s="62"/>
      <c r="W3" s="62"/>
      <c r="X3" s="62"/>
      <c r="Y3" s="62"/>
      <c r="Z3" s="62"/>
      <c r="AA3" s="62"/>
      <c r="AB3" s="62"/>
      <c r="AC3" s="62"/>
      <c r="AD3" s="62"/>
    </row>
    <row r="4" spans="1:30" ht="15.75" customHeight="1" x14ac:dyDescent="0.25">
      <c r="A4" s="52"/>
      <c r="B4" s="55"/>
      <c r="C4" s="57"/>
      <c r="D4" s="59"/>
      <c r="E4" s="61" t="s">
        <v>5</v>
      </c>
      <c r="F4" s="62"/>
      <c r="G4" s="62"/>
      <c r="H4" s="62"/>
      <c r="I4" s="62"/>
      <c r="J4" s="62"/>
      <c r="K4" s="63"/>
      <c r="L4" s="64" t="s">
        <v>6</v>
      </c>
      <c r="M4" s="58"/>
      <c r="N4" s="64" t="s">
        <v>7</v>
      </c>
      <c r="O4" s="58"/>
      <c r="P4" s="64" t="s">
        <v>8</v>
      </c>
      <c r="Q4" s="58"/>
      <c r="R4" s="64" t="s">
        <v>9</v>
      </c>
      <c r="S4" s="58"/>
      <c r="T4" s="66" t="s">
        <v>10</v>
      </c>
      <c r="U4" s="66" t="s">
        <v>11</v>
      </c>
      <c r="V4" s="66" t="s">
        <v>12</v>
      </c>
      <c r="W4" s="66" t="s">
        <v>13</v>
      </c>
      <c r="X4" s="66" t="s">
        <v>14</v>
      </c>
      <c r="Y4" s="64" t="s">
        <v>15</v>
      </c>
      <c r="Z4" s="58"/>
      <c r="AA4" s="66" t="s">
        <v>16</v>
      </c>
      <c r="AB4" s="66" t="s">
        <v>1964</v>
      </c>
      <c r="AC4" s="66" t="s">
        <v>17</v>
      </c>
      <c r="AD4" s="66" t="s">
        <v>18</v>
      </c>
    </row>
    <row r="5" spans="1:30" ht="342" customHeight="1" x14ac:dyDescent="0.25">
      <c r="A5" s="52"/>
      <c r="B5" s="55"/>
      <c r="C5" s="57"/>
      <c r="D5" s="60"/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  <c r="L5" s="65"/>
      <c r="M5" s="60"/>
      <c r="N5" s="65"/>
      <c r="O5" s="60"/>
      <c r="P5" s="65"/>
      <c r="Q5" s="60"/>
      <c r="R5" s="65"/>
      <c r="S5" s="60"/>
      <c r="T5" s="67"/>
      <c r="U5" s="67"/>
      <c r="V5" s="67"/>
      <c r="W5" s="67"/>
      <c r="X5" s="67"/>
      <c r="Y5" s="65"/>
      <c r="Z5" s="60"/>
      <c r="AA5" s="67"/>
      <c r="AB5" s="67"/>
      <c r="AC5" s="67"/>
      <c r="AD5" s="67"/>
    </row>
    <row r="6" spans="1:30" ht="15.75" x14ac:dyDescent="0.25">
      <c r="A6" s="53"/>
      <c r="B6" s="56"/>
      <c r="C6" s="57"/>
      <c r="D6" s="11" t="s">
        <v>26</v>
      </c>
      <c r="E6" s="7" t="s">
        <v>26</v>
      </c>
      <c r="F6" s="7" t="s">
        <v>26</v>
      </c>
      <c r="G6" s="7" t="s">
        <v>26</v>
      </c>
      <c r="H6" s="7" t="s">
        <v>26</v>
      </c>
      <c r="I6" s="7" t="s">
        <v>26</v>
      </c>
      <c r="J6" s="7" t="s">
        <v>26</v>
      </c>
      <c r="K6" s="7" t="s">
        <v>26</v>
      </c>
      <c r="L6" s="12" t="s">
        <v>27</v>
      </c>
      <c r="M6" s="7" t="s">
        <v>26</v>
      </c>
      <c r="N6" s="7" t="s">
        <v>28</v>
      </c>
      <c r="O6" s="7" t="s">
        <v>26</v>
      </c>
      <c r="P6" s="7" t="s">
        <v>28</v>
      </c>
      <c r="Q6" s="7" t="s">
        <v>26</v>
      </c>
      <c r="R6" s="7" t="s">
        <v>28</v>
      </c>
      <c r="S6" s="7" t="s">
        <v>26</v>
      </c>
      <c r="T6" s="7" t="s">
        <v>26</v>
      </c>
      <c r="U6" s="13" t="s">
        <v>26</v>
      </c>
      <c r="V6" s="13" t="s">
        <v>26</v>
      </c>
      <c r="W6" s="13" t="s">
        <v>26</v>
      </c>
      <c r="X6" s="13" t="s">
        <v>26</v>
      </c>
      <c r="Y6" s="13" t="s">
        <v>1963</v>
      </c>
      <c r="Z6" s="13" t="s">
        <v>26</v>
      </c>
      <c r="AA6" s="13" t="s">
        <v>26</v>
      </c>
      <c r="AB6" s="13" t="s">
        <v>26</v>
      </c>
      <c r="AC6" s="13" t="s">
        <v>26</v>
      </c>
      <c r="AD6" s="13" t="s">
        <v>26</v>
      </c>
    </row>
    <row r="7" spans="1:30" ht="27.75" customHeight="1" x14ac:dyDescent="0.25">
      <c r="A7" s="2"/>
      <c r="B7" s="14">
        <v>1</v>
      </c>
      <c r="C7" s="15">
        <v>2</v>
      </c>
      <c r="D7" s="16">
        <v>3</v>
      </c>
      <c r="E7" s="15">
        <v>4</v>
      </c>
      <c r="F7" s="15">
        <v>5</v>
      </c>
      <c r="G7" s="15">
        <v>6</v>
      </c>
      <c r="H7" s="15">
        <v>7</v>
      </c>
      <c r="I7" s="15">
        <v>8</v>
      </c>
      <c r="J7" s="15">
        <v>9</v>
      </c>
      <c r="K7" s="15">
        <v>10</v>
      </c>
      <c r="L7" s="12">
        <v>11</v>
      </c>
      <c r="M7" s="15">
        <v>12</v>
      </c>
      <c r="N7" s="15">
        <v>13</v>
      </c>
      <c r="O7" s="15">
        <v>14</v>
      </c>
      <c r="P7" s="15">
        <v>15</v>
      </c>
      <c r="Q7" s="15">
        <v>16</v>
      </c>
      <c r="R7" s="15">
        <v>17</v>
      </c>
      <c r="S7" s="15">
        <v>18</v>
      </c>
      <c r="T7" s="15">
        <v>19</v>
      </c>
      <c r="U7" s="12">
        <v>20</v>
      </c>
      <c r="V7" s="12">
        <v>21</v>
      </c>
      <c r="W7" s="12">
        <v>22</v>
      </c>
      <c r="X7" s="12">
        <v>23</v>
      </c>
      <c r="Y7" s="12">
        <v>24</v>
      </c>
      <c r="Z7" s="12">
        <v>25</v>
      </c>
      <c r="AA7" s="12">
        <v>26</v>
      </c>
      <c r="AB7" s="12">
        <v>27</v>
      </c>
      <c r="AC7" s="12">
        <v>28</v>
      </c>
      <c r="AD7" s="12">
        <v>29</v>
      </c>
    </row>
    <row r="8" spans="1:30" s="20" customFormat="1" ht="40.15" customHeight="1" x14ac:dyDescent="0.25">
      <c r="A8" s="2"/>
      <c r="B8" s="68" t="s">
        <v>1965</v>
      </c>
      <c r="C8" s="69"/>
      <c r="D8" s="4">
        <f t="shared" ref="D8:AD8" si="0">SUM(D10+D1186+D1890)</f>
        <v>28401985841.279991</v>
      </c>
      <c r="E8" s="4">
        <f t="shared" si="0"/>
        <v>12512203275.150002</v>
      </c>
      <c r="F8" s="4">
        <f t="shared" si="0"/>
        <v>2772758010.4799995</v>
      </c>
      <c r="G8" s="4">
        <f t="shared" si="0"/>
        <v>5448762888.8599987</v>
      </c>
      <c r="H8" s="4">
        <f t="shared" si="0"/>
        <v>1280710612.46</v>
      </c>
      <c r="I8" s="4">
        <f t="shared" si="0"/>
        <v>1476389156.9300003</v>
      </c>
      <c r="J8" s="4">
        <f t="shared" si="0"/>
        <v>1533582606.4199996</v>
      </c>
      <c r="K8" s="4">
        <f t="shared" si="0"/>
        <v>0</v>
      </c>
      <c r="L8" s="4">
        <f t="shared" si="0"/>
        <v>1345</v>
      </c>
      <c r="M8" s="4">
        <f t="shared" si="0"/>
        <v>4707500000</v>
      </c>
      <c r="N8" s="4">
        <f t="shared" si="0"/>
        <v>722998.44</v>
      </c>
      <c r="O8" s="4">
        <f t="shared" si="0"/>
        <v>4804644383.1599998</v>
      </c>
      <c r="P8" s="4">
        <f t="shared" si="0"/>
        <v>13967</v>
      </c>
      <c r="Q8" s="4">
        <f t="shared" si="0"/>
        <v>19553800</v>
      </c>
      <c r="R8" s="4">
        <f t="shared" si="0"/>
        <v>1615884.54</v>
      </c>
      <c r="S8" s="4">
        <f t="shared" si="0"/>
        <v>6051789284.8899994</v>
      </c>
      <c r="T8" s="4">
        <f t="shared" si="0"/>
        <v>47400000</v>
      </c>
      <c r="U8" s="4">
        <f t="shared" si="0"/>
        <v>183750000</v>
      </c>
      <c r="V8" s="4">
        <f t="shared" si="0"/>
        <v>50000</v>
      </c>
      <c r="W8" s="4">
        <f t="shared" si="0"/>
        <v>75000000</v>
      </c>
      <c r="X8" s="4">
        <f t="shared" si="0"/>
        <v>0</v>
      </c>
      <c r="Y8" s="4">
        <f t="shared" si="0"/>
        <v>0</v>
      </c>
      <c r="Z8" s="4">
        <f t="shared" si="0"/>
        <v>0</v>
      </c>
      <c r="AA8" s="4">
        <f t="shared" si="0"/>
        <v>0</v>
      </c>
      <c r="AB8" s="4">
        <f t="shared" si="0"/>
        <v>95098.08</v>
      </c>
      <c r="AC8" s="4">
        <f t="shared" si="0"/>
        <v>0</v>
      </c>
      <c r="AD8" s="4">
        <f t="shared" si="0"/>
        <v>0</v>
      </c>
    </row>
    <row r="9" spans="1:30" s="20" customFormat="1" ht="40.15" customHeight="1" x14ac:dyDescent="0.25">
      <c r="A9" s="3"/>
      <c r="B9" s="70" t="s">
        <v>30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</row>
    <row r="10" spans="1:30" s="20" customFormat="1" ht="40.15" customHeight="1" x14ac:dyDescent="0.25">
      <c r="A10" s="2"/>
      <c r="B10" s="47" t="s">
        <v>31</v>
      </c>
      <c r="C10" s="48"/>
      <c r="D10" s="4">
        <f t="shared" ref="D10:AD10" si="1">D11+D58+D72+D75+D81+D84+D126+D130+D148+D153+D156+D166+D180+D183+D222+D265+D288+D366+D1018+D1045+D1052+D1054+D1060+D1069+D1075+D1096</f>
        <v>9624486977.7099972</v>
      </c>
      <c r="E10" s="4">
        <f t="shared" si="1"/>
        <v>3259636824.0999994</v>
      </c>
      <c r="F10" s="4">
        <f t="shared" si="1"/>
        <v>725838136.0799998</v>
      </c>
      <c r="G10" s="4">
        <f t="shared" si="1"/>
        <v>1417193252.9500003</v>
      </c>
      <c r="H10" s="4">
        <f t="shared" si="1"/>
        <v>339671608.89999998</v>
      </c>
      <c r="I10" s="4">
        <f t="shared" si="1"/>
        <v>376615709.0800001</v>
      </c>
      <c r="J10" s="4">
        <f t="shared" si="1"/>
        <v>400318117.08999991</v>
      </c>
      <c r="K10" s="4">
        <f t="shared" si="1"/>
        <v>0</v>
      </c>
      <c r="L10" s="17">
        <f t="shared" si="1"/>
        <v>989</v>
      </c>
      <c r="M10" s="4">
        <f t="shared" si="1"/>
        <v>3461500000</v>
      </c>
      <c r="N10" s="4">
        <f t="shared" si="1"/>
        <v>195592.48</v>
      </c>
      <c r="O10" s="4">
        <f t="shared" si="1"/>
        <v>1374512201.22</v>
      </c>
      <c r="P10" s="4">
        <f t="shared" si="1"/>
        <v>4062</v>
      </c>
      <c r="Q10" s="4">
        <f t="shared" si="1"/>
        <v>5686800</v>
      </c>
      <c r="R10" s="4">
        <f t="shared" si="1"/>
        <v>368916.81000000006</v>
      </c>
      <c r="S10" s="4">
        <f t="shared" si="1"/>
        <v>1387406054.3100002</v>
      </c>
      <c r="T10" s="4">
        <f t="shared" si="1"/>
        <v>10800000</v>
      </c>
      <c r="U10" s="4">
        <f t="shared" si="1"/>
        <v>95900000</v>
      </c>
      <c r="V10" s="4">
        <f t="shared" si="1"/>
        <v>0</v>
      </c>
      <c r="W10" s="4">
        <f t="shared" si="1"/>
        <v>28950000</v>
      </c>
      <c r="X10" s="4">
        <f t="shared" si="1"/>
        <v>0</v>
      </c>
      <c r="Y10" s="4">
        <f t="shared" si="1"/>
        <v>0</v>
      </c>
      <c r="Z10" s="4">
        <f t="shared" si="1"/>
        <v>0</v>
      </c>
      <c r="AA10" s="4">
        <f t="shared" si="1"/>
        <v>0</v>
      </c>
      <c r="AB10" s="4">
        <f t="shared" si="1"/>
        <v>95098.08</v>
      </c>
      <c r="AC10" s="4">
        <f t="shared" si="1"/>
        <v>0</v>
      </c>
      <c r="AD10" s="4">
        <f t="shared" si="1"/>
        <v>0</v>
      </c>
    </row>
    <row r="11" spans="1:30" s="20" customFormat="1" ht="54.95" customHeight="1" x14ac:dyDescent="0.25">
      <c r="A11" s="3"/>
      <c r="B11" s="47" t="s">
        <v>1966</v>
      </c>
      <c r="C11" s="48"/>
      <c r="D11" s="4">
        <f>SUM(D12:D57)</f>
        <v>258799536.84000003</v>
      </c>
      <c r="E11" s="4">
        <f t="shared" ref="E11:AD11" si="2">SUM(E12:E57)</f>
        <v>80435554.070000023</v>
      </c>
      <c r="F11" s="4">
        <f t="shared" si="2"/>
        <v>19376271.359999999</v>
      </c>
      <c r="G11" s="4">
        <f t="shared" si="2"/>
        <v>36173382.920000002</v>
      </c>
      <c r="H11" s="4">
        <f t="shared" si="2"/>
        <v>9162285.5999999996</v>
      </c>
      <c r="I11" s="4">
        <f t="shared" si="2"/>
        <v>2615185.71</v>
      </c>
      <c r="J11" s="4">
        <f t="shared" si="2"/>
        <v>13108428.48</v>
      </c>
      <c r="K11" s="4">
        <f t="shared" si="2"/>
        <v>0</v>
      </c>
      <c r="L11" s="18">
        <f t="shared" si="2"/>
        <v>27</v>
      </c>
      <c r="M11" s="4">
        <f t="shared" si="2"/>
        <v>94500000</v>
      </c>
      <c r="N11" s="4">
        <f t="shared" si="2"/>
        <v>4480</v>
      </c>
      <c r="O11" s="4">
        <f t="shared" si="2"/>
        <v>26707840</v>
      </c>
      <c r="P11" s="4">
        <f t="shared" si="2"/>
        <v>700</v>
      </c>
      <c r="Q11" s="4">
        <f t="shared" si="2"/>
        <v>980000</v>
      </c>
      <c r="R11" s="4">
        <f t="shared" si="2"/>
        <v>12630.270000000002</v>
      </c>
      <c r="S11" s="4">
        <f t="shared" si="2"/>
        <v>47376142.770000011</v>
      </c>
      <c r="T11" s="4">
        <f t="shared" si="2"/>
        <v>3600000</v>
      </c>
      <c r="U11" s="4">
        <f t="shared" si="2"/>
        <v>3750000</v>
      </c>
      <c r="V11" s="4">
        <f t="shared" si="2"/>
        <v>0</v>
      </c>
      <c r="W11" s="4">
        <f t="shared" si="2"/>
        <v>1450000</v>
      </c>
      <c r="X11" s="4">
        <f t="shared" si="2"/>
        <v>0</v>
      </c>
      <c r="Y11" s="4">
        <f t="shared" si="2"/>
        <v>0</v>
      </c>
      <c r="Z11" s="4">
        <f t="shared" si="2"/>
        <v>0</v>
      </c>
      <c r="AA11" s="4">
        <f t="shared" si="2"/>
        <v>0</v>
      </c>
      <c r="AB11" s="4">
        <f t="shared" si="2"/>
        <v>0</v>
      </c>
      <c r="AC11" s="4">
        <f t="shared" si="2"/>
        <v>0</v>
      </c>
      <c r="AD11" s="4">
        <f t="shared" si="2"/>
        <v>0</v>
      </c>
    </row>
    <row r="12" spans="1:30" s="20" customFormat="1" ht="30" customHeight="1" x14ac:dyDescent="0.25">
      <c r="A12" s="2">
        <f>ROW()-ROW($A$11)</f>
        <v>1</v>
      </c>
      <c r="B12" s="6">
        <f>A12</f>
        <v>1</v>
      </c>
      <c r="C12" s="19" t="s">
        <v>1842</v>
      </c>
      <c r="D12" s="8">
        <f t="shared" ref="D12:D57" si="3">E12+M12+O12+Q12+S12+T12+U12+V12+W12+X12+Z12+AA12+AB12+AC12+AD12</f>
        <v>3700000</v>
      </c>
      <c r="E12" s="1">
        <f>SUM(F12:K12)</f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2">
        <v>1</v>
      </c>
      <c r="M12" s="1">
        <f>L12*3500000</f>
        <v>3500000</v>
      </c>
      <c r="N12" s="1">
        <v>0</v>
      </c>
      <c r="O12" s="1">
        <v>0</v>
      </c>
      <c r="P12" s="1">
        <v>0</v>
      </c>
      <c r="Q12" s="1">
        <f>1400*P12</f>
        <v>0</v>
      </c>
      <c r="R12" s="1">
        <v>0</v>
      </c>
      <c r="S12" s="1">
        <f>R12*3751</f>
        <v>0</v>
      </c>
      <c r="T12" s="1">
        <v>0</v>
      </c>
      <c r="U12" s="1">
        <v>200000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</row>
    <row r="13" spans="1:30" s="20" customFormat="1" ht="30" customHeight="1" x14ac:dyDescent="0.25">
      <c r="A13" s="2">
        <f>ROW()-ROW($A$11)</f>
        <v>2</v>
      </c>
      <c r="B13" s="6">
        <f>A13</f>
        <v>2</v>
      </c>
      <c r="C13" s="19" t="s">
        <v>1688</v>
      </c>
      <c r="D13" s="8">
        <f t="shared" si="3"/>
        <v>7200000</v>
      </c>
      <c r="E13" s="1">
        <f>SUM(F13:K13)</f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2">
        <v>2</v>
      </c>
      <c r="M13" s="1">
        <f>L13*3500000</f>
        <v>7000000</v>
      </c>
      <c r="N13" s="1">
        <v>0</v>
      </c>
      <c r="O13" s="1">
        <v>0</v>
      </c>
      <c r="P13" s="1">
        <v>0</v>
      </c>
      <c r="Q13" s="1">
        <f>1400*P13</f>
        <v>0</v>
      </c>
      <c r="R13" s="1">
        <v>0</v>
      </c>
      <c r="S13" s="1">
        <f>R13*3751</f>
        <v>0</v>
      </c>
      <c r="T13" s="1">
        <v>0</v>
      </c>
      <c r="U13" s="1">
        <v>200000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</row>
    <row r="14" spans="1:30" s="20" customFormat="1" ht="30" customHeight="1" x14ac:dyDescent="0.25">
      <c r="A14" s="2">
        <f>ROW()-ROW($A$11)</f>
        <v>3</v>
      </c>
      <c r="B14" s="6">
        <f>A14</f>
        <v>3</v>
      </c>
      <c r="C14" s="19" t="s">
        <v>32</v>
      </c>
      <c r="D14" s="8">
        <f t="shared" si="3"/>
        <v>9754055</v>
      </c>
      <c r="E14" s="1">
        <f>SUM(F14:K14)</f>
        <v>9584055</v>
      </c>
      <c r="F14" s="1">
        <f>804*2857.5</f>
        <v>2297430</v>
      </c>
      <c r="G14" s="1">
        <f>1693*2857.5</f>
        <v>4837747.5</v>
      </c>
      <c r="H14" s="1">
        <f>390*2857.5</f>
        <v>1114425</v>
      </c>
      <c r="I14" s="1">
        <v>0</v>
      </c>
      <c r="J14" s="1">
        <f>467*2857.5</f>
        <v>1334452.5</v>
      </c>
      <c r="K14" s="1">
        <v>0</v>
      </c>
      <c r="L14" s="2">
        <v>0</v>
      </c>
      <c r="M14" s="1">
        <f>L14*3500000</f>
        <v>0</v>
      </c>
      <c r="N14" s="1">
        <v>0</v>
      </c>
      <c r="O14" s="1">
        <v>0</v>
      </c>
      <c r="P14" s="1">
        <v>50</v>
      </c>
      <c r="Q14" s="1">
        <f>1400*P14</f>
        <v>70000</v>
      </c>
      <c r="R14" s="1">
        <v>0</v>
      </c>
      <c r="S14" s="1">
        <f>R14*3751</f>
        <v>0</v>
      </c>
      <c r="T14" s="1">
        <v>0</v>
      </c>
      <c r="U14" s="1">
        <v>50000</v>
      </c>
      <c r="V14" s="1">
        <v>0</v>
      </c>
      <c r="W14" s="1">
        <v>50000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</row>
    <row r="15" spans="1:30" s="21" customFormat="1" ht="35.1" customHeight="1" x14ac:dyDescent="0.25">
      <c r="A15" s="2">
        <f t="shared" ref="A15:A57" si="4">ROW()-ROW($A$11)</f>
        <v>4</v>
      </c>
      <c r="B15" s="6">
        <f t="shared" ref="B15:B57" si="5">A15</f>
        <v>4</v>
      </c>
      <c r="C15" s="19" t="s">
        <v>33</v>
      </c>
      <c r="D15" s="8">
        <f t="shared" si="3"/>
        <v>5628375.8000000007</v>
      </c>
      <c r="E15" s="1">
        <f t="shared" ref="E15:E57" si="6">SUM(F15:K15)</f>
        <v>5308375.8000000007</v>
      </c>
      <c r="F15" s="1">
        <f>804*1582.7</f>
        <v>1272490.8</v>
      </c>
      <c r="G15" s="1">
        <f>1693*1582.7</f>
        <v>2679511.1</v>
      </c>
      <c r="H15" s="1">
        <f>390*1582.7</f>
        <v>617253</v>
      </c>
      <c r="I15" s="1">
        <v>0</v>
      </c>
      <c r="J15" s="1">
        <f>467*1582.7</f>
        <v>739120.9</v>
      </c>
      <c r="K15" s="1">
        <v>0</v>
      </c>
      <c r="L15" s="2">
        <v>0</v>
      </c>
      <c r="M15" s="1">
        <f t="shared" ref="M15:M57" si="7">L15*3500000</f>
        <v>0</v>
      </c>
      <c r="N15" s="1">
        <v>0</v>
      </c>
      <c r="O15" s="1">
        <v>0</v>
      </c>
      <c r="P15" s="1">
        <v>50</v>
      </c>
      <c r="Q15" s="1">
        <f t="shared" ref="Q15:Q57" si="8">P15*1400</f>
        <v>70000</v>
      </c>
      <c r="R15" s="1">
        <v>0</v>
      </c>
      <c r="S15" s="1">
        <f t="shared" ref="S15:S57" si="9">R15*3751</f>
        <v>0</v>
      </c>
      <c r="T15" s="1">
        <v>150000</v>
      </c>
      <c r="U15" s="1">
        <v>50000</v>
      </c>
      <c r="V15" s="1">
        <v>0</v>
      </c>
      <c r="W15" s="1">
        <v>50000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</row>
    <row r="16" spans="1:30" s="20" customFormat="1" ht="30" customHeight="1" x14ac:dyDescent="0.25">
      <c r="A16" s="2">
        <f t="shared" si="4"/>
        <v>5</v>
      </c>
      <c r="B16" s="6">
        <f>A16</f>
        <v>5</v>
      </c>
      <c r="C16" s="19" t="s">
        <v>40</v>
      </c>
      <c r="D16" s="8">
        <f t="shared" si="3"/>
        <v>5994016.1000000006</v>
      </c>
      <c r="E16" s="1">
        <f>SUM(F16:K16)</f>
        <v>3048547.5000000005</v>
      </c>
      <c r="F16" s="1">
        <f>804*776.7</f>
        <v>624466.80000000005</v>
      </c>
      <c r="G16" s="1">
        <f>1693*776.7</f>
        <v>1314953.1000000001</v>
      </c>
      <c r="H16" s="1">
        <f>390*776.7</f>
        <v>302913</v>
      </c>
      <c r="I16" s="1">
        <f>571*776.7</f>
        <v>443495.7</v>
      </c>
      <c r="J16" s="1">
        <f>467*776.7</f>
        <v>362718.9</v>
      </c>
      <c r="K16" s="1">
        <v>0</v>
      </c>
      <c r="L16" s="2">
        <v>0</v>
      </c>
      <c r="M16" s="1">
        <f>L16*3500000</f>
        <v>0</v>
      </c>
      <c r="N16" s="1">
        <v>0</v>
      </c>
      <c r="O16" s="1">
        <v>0</v>
      </c>
      <c r="P16" s="1">
        <v>0</v>
      </c>
      <c r="Q16" s="1">
        <f>P16*1400</f>
        <v>0</v>
      </c>
      <c r="R16" s="1">
        <v>718.6</v>
      </c>
      <c r="S16" s="1">
        <f>R16*3751</f>
        <v>2695468.6</v>
      </c>
      <c r="T16" s="1">
        <v>150000</v>
      </c>
      <c r="U16" s="1">
        <v>50000</v>
      </c>
      <c r="V16" s="1">
        <v>0</v>
      </c>
      <c r="W16" s="1">
        <v>50000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</row>
    <row r="17" spans="1:30" s="20" customFormat="1" ht="30" customHeight="1" x14ac:dyDescent="0.25">
      <c r="A17" s="2">
        <f t="shared" si="4"/>
        <v>6</v>
      </c>
      <c r="B17" s="6">
        <f>A17</f>
        <v>6</v>
      </c>
      <c r="C17" s="19" t="s">
        <v>41</v>
      </c>
      <c r="D17" s="8">
        <f t="shared" si="3"/>
        <v>2758387.2</v>
      </c>
      <c r="E17" s="1">
        <f>SUM(F17:K17)</f>
        <v>487867.19999999995</v>
      </c>
      <c r="F17" s="1">
        <f>804*606.8</f>
        <v>487867.19999999995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2">
        <v>0</v>
      </c>
      <c r="M17" s="1">
        <f>L17*3500000</f>
        <v>0</v>
      </c>
      <c r="N17" s="1">
        <v>0</v>
      </c>
      <c r="O17" s="1">
        <v>0</v>
      </c>
      <c r="P17" s="1">
        <v>50</v>
      </c>
      <c r="Q17" s="1">
        <f>P17*1400</f>
        <v>70000</v>
      </c>
      <c r="R17" s="1">
        <v>520</v>
      </c>
      <c r="S17" s="1">
        <f>R17*3751</f>
        <v>1950520</v>
      </c>
      <c r="T17" s="1">
        <v>150000</v>
      </c>
      <c r="U17" s="1">
        <v>50000</v>
      </c>
      <c r="V17" s="1">
        <v>0</v>
      </c>
      <c r="W17" s="1">
        <v>50000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</row>
    <row r="18" spans="1:30" s="5" customFormat="1" ht="30" customHeight="1" x14ac:dyDescent="0.25">
      <c r="A18" s="2">
        <f t="shared" si="4"/>
        <v>7</v>
      </c>
      <c r="B18" s="6">
        <f t="shared" si="5"/>
        <v>7</v>
      </c>
      <c r="C18" s="19" t="s">
        <v>34</v>
      </c>
      <c r="D18" s="8">
        <f t="shared" si="3"/>
        <v>4106257.3</v>
      </c>
      <c r="E18" s="1">
        <f t="shared" si="6"/>
        <v>1883606.4000000001</v>
      </c>
      <c r="F18" s="1">
        <f>804*561.6</f>
        <v>451526.40000000002</v>
      </c>
      <c r="G18" s="1">
        <f>1693*561.6</f>
        <v>950788.8</v>
      </c>
      <c r="H18" s="1">
        <f>390*561.6</f>
        <v>219024</v>
      </c>
      <c r="I18" s="1">
        <v>0</v>
      </c>
      <c r="J18" s="1">
        <f>467*561.6</f>
        <v>262267.2</v>
      </c>
      <c r="K18" s="1">
        <v>0</v>
      </c>
      <c r="L18" s="2">
        <v>0</v>
      </c>
      <c r="M18" s="1">
        <f t="shared" si="7"/>
        <v>0</v>
      </c>
      <c r="N18" s="1">
        <v>0</v>
      </c>
      <c r="O18" s="1">
        <v>0</v>
      </c>
      <c r="P18" s="1">
        <v>0</v>
      </c>
      <c r="Q18" s="1">
        <f t="shared" si="8"/>
        <v>0</v>
      </c>
      <c r="R18" s="1">
        <v>525.9</v>
      </c>
      <c r="S18" s="1">
        <f t="shared" si="9"/>
        <v>1972650.9</v>
      </c>
      <c r="T18" s="1">
        <v>150000</v>
      </c>
      <c r="U18" s="1">
        <v>50000</v>
      </c>
      <c r="V18" s="1">
        <v>0</v>
      </c>
      <c r="W18" s="1">
        <v>50000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</row>
    <row r="19" spans="1:30" s="20" customFormat="1" ht="30" customHeight="1" x14ac:dyDescent="0.25">
      <c r="A19" s="2">
        <f t="shared" si="4"/>
        <v>8</v>
      </c>
      <c r="B19" s="6">
        <f t="shared" si="5"/>
        <v>8</v>
      </c>
      <c r="C19" s="19" t="s">
        <v>35</v>
      </c>
      <c r="D19" s="8">
        <f t="shared" si="3"/>
        <v>2551616.0999999996</v>
      </c>
      <c r="E19" s="1">
        <f t="shared" si="6"/>
        <v>1000162.7999999999</v>
      </c>
      <c r="F19" s="1">
        <f>804*298.2</f>
        <v>239752.8</v>
      </c>
      <c r="G19" s="1">
        <f>1693*298.2</f>
        <v>504852.6</v>
      </c>
      <c r="H19" s="1">
        <f>390*298.2</f>
        <v>116298</v>
      </c>
      <c r="I19" s="1">
        <v>0</v>
      </c>
      <c r="J19" s="1">
        <f>467*298.2</f>
        <v>139259.4</v>
      </c>
      <c r="K19" s="1">
        <v>0</v>
      </c>
      <c r="L19" s="2">
        <v>0</v>
      </c>
      <c r="M19" s="1">
        <f t="shared" si="7"/>
        <v>0</v>
      </c>
      <c r="N19" s="1">
        <v>0</v>
      </c>
      <c r="O19" s="1">
        <v>0</v>
      </c>
      <c r="P19" s="1">
        <v>50</v>
      </c>
      <c r="Q19" s="1">
        <f t="shared" si="8"/>
        <v>70000</v>
      </c>
      <c r="R19" s="1">
        <v>328.3</v>
      </c>
      <c r="S19" s="1">
        <f t="shared" si="9"/>
        <v>1231453.3</v>
      </c>
      <c r="T19" s="1">
        <v>150000</v>
      </c>
      <c r="U19" s="1">
        <v>50000</v>
      </c>
      <c r="V19" s="1">
        <v>0</v>
      </c>
      <c r="W19" s="1">
        <v>50000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</row>
    <row r="20" spans="1:30" s="20" customFormat="1" ht="30" customHeight="1" x14ac:dyDescent="0.25">
      <c r="A20" s="2">
        <f t="shared" si="4"/>
        <v>9</v>
      </c>
      <c r="B20" s="6">
        <f t="shared" si="5"/>
        <v>9</v>
      </c>
      <c r="C20" s="19" t="s">
        <v>36</v>
      </c>
      <c r="D20" s="8">
        <f t="shared" si="3"/>
        <v>3789763.7800000003</v>
      </c>
      <c r="E20" s="1">
        <f t="shared" si="6"/>
        <v>1739283.78</v>
      </c>
      <c r="F20" s="1">
        <f>804*518.57</f>
        <v>416930.28</v>
      </c>
      <c r="G20" s="1">
        <f>1693*518.57</f>
        <v>877939.01000000013</v>
      </c>
      <c r="H20" s="1">
        <f>390*518.57</f>
        <v>202242.30000000002</v>
      </c>
      <c r="I20" s="1">
        <v>0</v>
      </c>
      <c r="J20" s="1">
        <f>467*518.57</f>
        <v>242172.19000000003</v>
      </c>
      <c r="K20" s="1">
        <v>0</v>
      </c>
      <c r="L20" s="2">
        <v>0</v>
      </c>
      <c r="M20" s="1">
        <f t="shared" si="7"/>
        <v>0</v>
      </c>
      <c r="N20" s="1">
        <v>0</v>
      </c>
      <c r="O20" s="1">
        <v>0</v>
      </c>
      <c r="P20" s="1">
        <v>0</v>
      </c>
      <c r="Q20" s="1">
        <f t="shared" si="8"/>
        <v>0</v>
      </c>
      <c r="R20" s="1">
        <v>480</v>
      </c>
      <c r="S20" s="1">
        <f t="shared" si="9"/>
        <v>1800480</v>
      </c>
      <c r="T20" s="1">
        <v>150000</v>
      </c>
      <c r="U20" s="1">
        <v>50000</v>
      </c>
      <c r="V20" s="1">
        <v>0</v>
      </c>
      <c r="W20" s="1">
        <v>50000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</row>
    <row r="21" spans="1:30" s="20" customFormat="1" ht="30" customHeight="1" x14ac:dyDescent="0.25">
      <c r="A21" s="2">
        <f t="shared" si="4"/>
        <v>10</v>
      </c>
      <c r="B21" s="6">
        <f t="shared" si="5"/>
        <v>10</v>
      </c>
      <c r="C21" s="19" t="s">
        <v>37</v>
      </c>
      <c r="D21" s="8">
        <f t="shared" si="3"/>
        <v>11241079.77</v>
      </c>
      <c r="E21" s="1">
        <f t="shared" si="6"/>
        <v>7077167.4999999991</v>
      </c>
      <c r="F21" s="1">
        <f>804*1803.1</f>
        <v>1449692.4</v>
      </c>
      <c r="G21" s="1">
        <f>1693*1803.1</f>
        <v>3052648.3</v>
      </c>
      <c r="H21" s="1">
        <f>390*1803.1</f>
        <v>703209</v>
      </c>
      <c r="I21" s="1">
        <f>571*1803.1</f>
        <v>1029570.1</v>
      </c>
      <c r="J21" s="1">
        <f>467*1803.1</f>
        <v>842047.7</v>
      </c>
      <c r="K21" s="1">
        <v>0</v>
      </c>
      <c r="L21" s="2">
        <v>0</v>
      </c>
      <c r="M21" s="1">
        <f t="shared" si="7"/>
        <v>0</v>
      </c>
      <c r="N21" s="1">
        <v>0</v>
      </c>
      <c r="O21" s="1">
        <v>0</v>
      </c>
      <c r="P21" s="1">
        <v>50</v>
      </c>
      <c r="Q21" s="1">
        <f t="shared" si="8"/>
        <v>70000</v>
      </c>
      <c r="R21" s="1">
        <v>1024.77</v>
      </c>
      <c r="S21" s="1">
        <f t="shared" si="9"/>
        <v>3843912.27</v>
      </c>
      <c r="T21" s="1">
        <v>150000</v>
      </c>
      <c r="U21" s="1">
        <v>50000</v>
      </c>
      <c r="V21" s="1">
        <v>0</v>
      </c>
      <c r="W21" s="1">
        <v>50000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</row>
    <row r="22" spans="1:30" s="20" customFormat="1" ht="30" customHeight="1" x14ac:dyDescent="0.25">
      <c r="A22" s="2">
        <f t="shared" si="4"/>
        <v>11</v>
      </c>
      <c r="B22" s="6">
        <f t="shared" si="5"/>
        <v>11</v>
      </c>
      <c r="C22" s="19" t="s">
        <v>38</v>
      </c>
      <c r="D22" s="8">
        <f t="shared" si="3"/>
        <v>320000</v>
      </c>
      <c r="E22" s="1">
        <f t="shared" si="6"/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2">
        <v>0</v>
      </c>
      <c r="M22" s="1">
        <f t="shared" si="7"/>
        <v>0</v>
      </c>
      <c r="N22" s="1">
        <v>0</v>
      </c>
      <c r="O22" s="1">
        <v>0</v>
      </c>
      <c r="P22" s="1">
        <v>50</v>
      </c>
      <c r="Q22" s="1">
        <f t="shared" si="8"/>
        <v>70000</v>
      </c>
      <c r="R22" s="1">
        <v>0</v>
      </c>
      <c r="S22" s="1">
        <v>0</v>
      </c>
      <c r="T22" s="1">
        <v>150000</v>
      </c>
      <c r="U22" s="1">
        <v>50000</v>
      </c>
      <c r="V22" s="1">
        <v>0</v>
      </c>
      <c r="W22" s="1">
        <v>50000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</row>
    <row r="23" spans="1:30" s="20" customFormat="1" ht="30" customHeight="1" x14ac:dyDescent="0.25">
      <c r="A23" s="2">
        <f t="shared" si="4"/>
        <v>12</v>
      </c>
      <c r="B23" s="6">
        <f t="shared" si="5"/>
        <v>12</v>
      </c>
      <c r="C23" s="19" t="s">
        <v>39</v>
      </c>
      <c r="D23" s="8">
        <f t="shared" si="3"/>
        <v>5602200</v>
      </c>
      <c r="E23" s="1">
        <f t="shared" si="6"/>
        <v>5432200</v>
      </c>
      <c r="F23" s="1">
        <f>804*1384</f>
        <v>1112736</v>
      </c>
      <c r="G23" s="1">
        <f>1693*1384</f>
        <v>2343112</v>
      </c>
      <c r="H23" s="1">
        <f>390*1384</f>
        <v>539760</v>
      </c>
      <c r="I23" s="1">
        <f>571*1384</f>
        <v>790264</v>
      </c>
      <c r="J23" s="1">
        <f>467*1384</f>
        <v>646328</v>
      </c>
      <c r="K23" s="1">
        <v>0</v>
      </c>
      <c r="L23" s="2">
        <v>0</v>
      </c>
      <c r="M23" s="1">
        <f t="shared" si="7"/>
        <v>0</v>
      </c>
      <c r="N23" s="1">
        <v>0</v>
      </c>
      <c r="O23" s="1">
        <v>0</v>
      </c>
      <c r="P23" s="1">
        <v>50</v>
      </c>
      <c r="Q23" s="1">
        <f t="shared" si="8"/>
        <v>70000</v>
      </c>
      <c r="R23" s="1">
        <v>0</v>
      </c>
      <c r="S23" s="1">
        <f t="shared" si="9"/>
        <v>0</v>
      </c>
      <c r="T23" s="1">
        <v>0</v>
      </c>
      <c r="U23" s="1">
        <v>50000</v>
      </c>
      <c r="V23" s="1">
        <v>0</v>
      </c>
      <c r="W23" s="1">
        <v>50000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</row>
    <row r="24" spans="1:30" s="20" customFormat="1" ht="42.75" customHeight="1" x14ac:dyDescent="0.25">
      <c r="A24" s="2">
        <f t="shared" si="4"/>
        <v>13</v>
      </c>
      <c r="B24" s="6">
        <f>A24</f>
        <v>13</v>
      </c>
      <c r="C24" s="19" t="s">
        <v>1997</v>
      </c>
      <c r="D24" s="8">
        <f t="shared" si="3"/>
        <v>14200000</v>
      </c>
      <c r="E24" s="1">
        <f>SUM(F24:K24)</f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2">
        <v>4</v>
      </c>
      <c r="M24" s="1">
        <f>L24*3500000</f>
        <v>14000000</v>
      </c>
      <c r="N24" s="1">
        <v>0</v>
      </c>
      <c r="O24" s="1">
        <v>0</v>
      </c>
      <c r="P24" s="1">
        <v>0</v>
      </c>
      <c r="Q24" s="1">
        <f>P24*1400</f>
        <v>0</v>
      </c>
      <c r="R24" s="1">
        <v>0</v>
      </c>
      <c r="S24" s="1">
        <f>R24*3751</f>
        <v>0</v>
      </c>
      <c r="T24" s="1">
        <v>0</v>
      </c>
      <c r="U24" s="1">
        <v>200000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</row>
    <row r="25" spans="1:30" s="20" customFormat="1" ht="42.75" customHeight="1" x14ac:dyDescent="0.25">
      <c r="A25" s="2">
        <f t="shared" si="4"/>
        <v>14</v>
      </c>
      <c r="B25" s="6">
        <f>A25</f>
        <v>14</v>
      </c>
      <c r="C25" s="19" t="s">
        <v>1689</v>
      </c>
      <c r="D25" s="8">
        <f t="shared" si="3"/>
        <v>3700000</v>
      </c>
      <c r="E25" s="1">
        <f>SUM(F25:K25)</f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2">
        <v>1</v>
      </c>
      <c r="M25" s="1">
        <f>L25*3500000</f>
        <v>3500000</v>
      </c>
      <c r="N25" s="1">
        <v>0</v>
      </c>
      <c r="O25" s="1">
        <v>0</v>
      </c>
      <c r="P25" s="1">
        <v>0</v>
      </c>
      <c r="Q25" s="1">
        <f>P25*1400</f>
        <v>0</v>
      </c>
      <c r="R25" s="1">
        <v>0</v>
      </c>
      <c r="S25" s="1">
        <f>R25*3751</f>
        <v>0</v>
      </c>
      <c r="T25" s="1">
        <v>0</v>
      </c>
      <c r="U25" s="1">
        <v>200000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</row>
    <row r="26" spans="1:30" s="20" customFormat="1" ht="30" customHeight="1" x14ac:dyDescent="0.25">
      <c r="A26" s="2">
        <f t="shared" si="4"/>
        <v>15</v>
      </c>
      <c r="B26" s="6">
        <f t="shared" si="5"/>
        <v>15</v>
      </c>
      <c r="C26" s="19" t="s">
        <v>42</v>
      </c>
      <c r="D26" s="8">
        <f t="shared" si="3"/>
        <v>1811895.5</v>
      </c>
      <c r="E26" s="1">
        <f t="shared" si="6"/>
        <v>504113.5</v>
      </c>
      <c r="F26" s="1">
        <f>804*303.5</f>
        <v>244014</v>
      </c>
      <c r="G26" s="1">
        <v>0</v>
      </c>
      <c r="H26" s="1">
        <f>390*303.5</f>
        <v>118365</v>
      </c>
      <c r="I26" s="1">
        <v>0</v>
      </c>
      <c r="J26" s="1">
        <f>467*303.5</f>
        <v>141734.5</v>
      </c>
      <c r="K26" s="1">
        <v>0</v>
      </c>
      <c r="L26" s="2">
        <v>0</v>
      </c>
      <c r="M26" s="1">
        <f t="shared" si="7"/>
        <v>0</v>
      </c>
      <c r="N26" s="1">
        <v>0</v>
      </c>
      <c r="O26" s="1">
        <v>0</v>
      </c>
      <c r="P26" s="1">
        <v>0</v>
      </c>
      <c r="Q26" s="1">
        <f t="shared" si="8"/>
        <v>0</v>
      </c>
      <c r="R26" s="1">
        <v>282</v>
      </c>
      <c r="S26" s="1">
        <f t="shared" si="9"/>
        <v>1057782</v>
      </c>
      <c r="T26" s="1">
        <v>150000</v>
      </c>
      <c r="U26" s="1">
        <v>50000</v>
      </c>
      <c r="V26" s="1">
        <v>0</v>
      </c>
      <c r="W26" s="1">
        <v>50000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</row>
    <row r="27" spans="1:30" s="20" customFormat="1" ht="42.75" customHeight="1" x14ac:dyDescent="0.25">
      <c r="A27" s="2">
        <f t="shared" si="4"/>
        <v>16</v>
      </c>
      <c r="B27" s="6">
        <f>A27</f>
        <v>16</v>
      </c>
      <c r="C27" s="19" t="s">
        <v>2010</v>
      </c>
      <c r="D27" s="8">
        <f t="shared" si="3"/>
        <v>4650000</v>
      </c>
      <c r="E27" s="1">
        <f>SUM(F27:K27)</f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2">
        <v>0</v>
      </c>
      <c r="M27" s="1">
        <f>L27*3500000</f>
        <v>0</v>
      </c>
      <c r="N27" s="1">
        <v>600</v>
      </c>
      <c r="O27" s="1">
        <f>N27*7750</f>
        <v>4650000</v>
      </c>
      <c r="P27" s="1">
        <v>0</v>
      </c>
      <c r="Q27" s="1">
        <f>P27*1400</f>
        <v>0</v>
      </c>
      <c r="R27" s="1">
        <v>0</v>
      </c>
      <c r="S27" s="1">
        <f>R27*3751</f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</row>
    <row r="28" spans="1:30" s="20" customFormat="1" ht="42.75" customHeight="1" x14ac:dyDescent="0.25">
      <c r="A28" s="2">
        <f t="shared" si="4"/>
        <v>17</v>
      </c>
      <c r="B28" s="6">
        <f>A28</f>
        <v>17</v>
      </c>
      <c r="C28" s="19" t="s">
        <v>2011</v>
      </c>
      <c r="D28" s="8">
        <f t="shared" si="3"/>
        <v>2484000</v>
      </c>
      <c r="E28" s="1">
        <f>SUM(F28:K28)</f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2">
        <v>0</v>
      </c>
      <c r="M28" s="1">
        <f>L28*3500000</f>
        <v>0</v>
      </c>
      <c r="N28" s="1">
        <v>500</v>
      </c>
      <c r="O28" s="1">
        <f>N28*4968</f>
        <v>2484000</v>
      </c>
      <c r="P28" s="1">
        <v>0</v>
      </c>
      <c r="Q28" s="1">
        <f>P28*1400</f>
        <v>0</v>
      </c>
      <c r="R28" s="1">
        <v>0</v>
      </c>
      <c r="S28" s="1">
        <f>R28*3751</f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</row>
    <row r="29" spans="1:30" s="20" customFormat="1" ht="30" customHeight="1" x14ac:dyDescent="0.25">
      <c r="A29" s="2">
        <f t="shared" si="4"/>
        <v>18</v>
      </c>
      <c r="B29" s="6">
        <f t="shared" si="5"/>
        <v>18</v>
      </c>
      <c r="C29" s="19" t="s">
        <v>43</v>
      </c>
      <c r="D29" s="8">
        <f t="shared" si="3"/>
        <v>514545.41</v>
      </c>
      <c r="E29" s="1">
        <f t="shared" si="6"/>
        <v>194545.40999999997</v>
      </c>
      <c r="F29" s="1">
        <v>0</v>
      </c>
      <c r="G29" s="1">
        <v>0</v>
      </c>
      <c r="H29" s="1">
        <v>0</v>
      </c>
      <c r="I29" s="1">
        <f>571*340.71</f>
        <v>194545.40999999997</v>
      </c>
      <c r="J29" s="1">
        <v>0</v>
      </c>
      <c r="K29" s="1">
        <v>0</v>
      </c>
      <c r="L29" s="2">
        <v>0</v>
      </c>
      <c r="M29" s="1">
        <f t="shared" si="7"/>
        <v>0</v>
      </c>
      <c r="N29" s="1">
        <v>0</v>
      </c>
      <c r="O29" s="1">
        <v>0</v>
      </c>
      <c r="P29" s="1">
        <v>50</v>
      </c>
      <c r="Q29" s="1">
        <f t="shared" si="8"/>
        <v>70000</v>
      </c>
      <c r="R29" s="1">
        <v>0</v>
      </c>
      <c r="S29" s="1">
        <f t="shared" si="9"/>
        <v>0</v>
      </c>
      <c r="T29" s="1">
        <v>150000</v>
      </c>
      <c r="U29" s="1">
        <v>50000</v>
      </c>
      <c r="V29" s="1">
        <v>0</v>
      </c>
      <c r="W29" s="1">
        <v>50000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</row>
    <row r="30" spans="1:30" s="20" customFormat="1" ht="30" customHeight="1" x14ac:dyDescent="0.25">
      <c r="A30" s="2">
        <f t="shared" si="4"/>
        <v>19</v>
      </c>
      <c r="B30" s="6">
        <f t="shared" si="5"/>
        <v>19</v>
      </c>
      <c r="C30" s="19" t="s">
        <v>44</v>
      </c>
      <c r="D30" s="8">
        <f t="shared" si="3"/>
        <v>7044917.1999999993</v>
      </c>
      <c r="E30" s="1">
        <f t="shared" si="6"/>
        <v>3611587.1999999997</v>
      </c>
      <c r="F30" s="1">
        <f>804*1076.8</f>
        <v>865747.2</v>
      </c>
      <c r="G30" s="1">
        <f>1693*1076.8</f>
        <v>1823022.4</v>
      </c>
      <c r="H30" s="1">
        <f>390*1076.8</f>
        <v>419952</v>
      </c>
      <c r="I30" s="1">
        <v>0</v>
      </c>
      <c r="J30" s="1">
        <f>467*1076.8</f>
        <v>502865.6</v>
      </c>
      <c r="K30" s="1">
        <v>0</v>
      </c>
      <c r="L30" s="2">
        <v>0</v>
      </c>
      <c r="M30" s="1">
        <f t="shared" si="7"/>
        <v>0</v>
      </c>
      <c r="N30" s="1">
        <v>0</v>
      </c>
      <c r="O30" s="1">
        <v>0</v>
      </c>
      <c r="P30" s="1">
        <v>50</v>
      </c>
      <c r="Q30" s="1">
        <f t="shared" si="8"/>
        <v>70000</v>
      </c>
      <c r="R30" s="1">
        <v>830</v>
      </c>
      <c r="S30" s="1">
        <f t="shared" si="9"/>
        <v>3113330</v>
      </c>
      <c r="T30" s="1">
        <v>150000</v>
      </c>
      <c r="U30" s="1">
        <v>50000</v>
      </c>
      <c r="V30" s="1">
        <v>0</v>
      </c>
      <c r="W30" s="1">
        <v>50000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</row>
    <row r="31" spans="1:30" s="20" customFormat="1" ht="30" customHeight="1" x14ac:dyDescent="0.25">
      <c r="A31" s="2">
        <f t="shared" si="4"/>
        <v>20</v>
      </c>
      <c r="B31" s="6">
        <f t="shared" si="5"/>
        <v>20</v>
      </c>
      <c r="C31" s="19" t="s">
        <v>45</v>
      </c>
      <c r="D31" s="8">
        <f t="shared" si="3"/>
        <v>7041941.3300000001</v>
      </c>
      <c r="E31" s="1">
        <f t="shared" si="6"/>
        <v>3625003.1999999997</v>
      </c>
      <c r="F31" s="1">
        <f>804*1080.8</f>
        <v>868963.2</v>
      </c>
      <c r="G31" s="1">
        <f>1693*1080.8</f>
        <v>1829794.4</v>
      </c>
      <c r="H31" s="1">
        <f>390*1080.8</f>
        <v>421512</v>
      </c>
      <c r="I31" s="1">
        <v>0</v>
      </c>
      <c r="J31" s="1">
        <f>467*1080.8</f>
        <v>504733.6</v>
      </c>
      <c r="K31" s="1">
        <v>0</v>
      </c>
      <c r="L31" s="2">
        <v>0</v>
      </c>
      <c r="M31" s="1">
        <f t="shared" si="7"/>
        <v>0</v>
      </c>
      <c r="N31" s="1">
        <v>0</v>
      </c>
      <c r="O31" s="1">
        <v>0</v>
      </c>
      <c r="P31" s="1">
        <v>50</v>
      </c>
      <c r="Q31" s="1">
        <f t="shared" si="8"/>
        <v>70000</v>
      </c>
      <c r="R31" s="1">
        <v>825.63</v>
      </c>
      <c r="S31" s="1">
        <f t="shared" si="9"/>
        <v>3096938.13</v>
      </c>
      <c r="T31" s="1">
        <v>150000</v>
      </c>
      <c r="U31" s="1">
        <v>50000</v>
      </c>
      <c r="V31" s="1">
        <v>0</v>
      </c>
      <c r="W31" s="1">
        <v>50000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</row>
    <row r="32" spans="1:30" s="20" customFormat="1" ht="42.75" customHeight="1" x14ac:dyDescent="0.25">
      <c r="A32" s="2">
        <f t="shared" si="4"/>
        <v>21</v>
      </c>
      <c r="B32" s="6">
        <f t="shared" si="5"/>
        <v>21</v>
      </c>
      <c r="C32" s="19" t="s">
        <v>1690</v>
      </c>
      <c r="D32" s="8">
        <f t="shared" si="3"/>
        <v>7200000</v>
      </c>
      <c r="E32" s="1">
        <f t="shared" si="6"/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2">
        <v>2</v>
      </c>
      <c r="M32" s="1">
        <f t="shared" si="7"/>
        <v>7000000</v>
      </c>
      <c r="N32" s="1">
        <v>0</v>
      </c>
      <c r="O32" s="1">
        <v>0</v>
      </c>
      <c r="P32" s="1">
        <v>0</v>
      </c>
      <c r="Q32" s="1">
        <f t="shared" si="8"/>
        <v>0</v>
      </c>
      <c r="R32" s="1">
        <v>0</v>
      </c>
      <c r="S32" s="1">
        <f t="shared" si="9"/>
        <v>0</v>
      </c>
      <c r="T32" s="1">
        <v>0</v>
      </c>
      <c r="U32" s="1">
        <v>200000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</row>
    <row r="33" spans="1:30" s="20" customFormat="1" ht="30" customHeight="1" x14ac:dyDescent="0.25">
      <c r="A33" s="2">
        <f>ROW()-ROW($A$11)</f>
        <v>22</v>
      </c>
      <c r="B33" s="6">
        <f>A33</f>
        <v>22</v>
      </c>
      <c r="C33" s="19" t="s">
        <v>2237</v>
      </c>
      <c r="D33" s="8">
        <f t="shared" si="3"/>
        <v>10700000</v>
      </c>
      <c r="E33" s="1">
        <f>SUM(F33:K33)</f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2">
        <v>3</v>
      </c>
      <c r="M33" s="1">
        <f>L33*3500000</f>
        <v>10500000</v>
      </c>
      <c r="N33" s="1">
        <v>0</v>
      </c>
      <c r="O33" s="1">
        <v>0</v>
      </c>
      <c r="P33" s="1">
        <v>0</v>
      </c>
      <c r="Q33" s="1">
        <f>1400*P33</f>
        <v>0</v>
      </c>
      <c r="R33" s="1">
        <v>0</v>
      </c>
      <c r="S33" s="1">
        <f>R33*3751</f>
        <v>0</v>
      </c>
      <c r="T33" s="1">
        <v>0</v>
      </c>
      <c r="U33" s="1">
        <v>200000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</row>
    <row r="34" spans="1:30" s="20" customFormat="1" ht="30" customHeight="1" x14ac:dyDescent="0.25">
      <c r="A34" s="2">
        <f t="shared" si="4"/>
        <v>23</v>
      </c>
      <c r="B34" s="6">
        <f>A34</f>
        <v>23</v>
      </c>
      <c r="C34" s="19" t="s">
        <v>47</v>
      </c>
      <c r="D34" s="8">
        <f t="shared" si="3"/>
        <v>9840477.5</v>
      </c>
      <c r="E34" s="1">
        <f>SUM(F34:K34)</f>
        <v>5085670.1999999993</v>
      </c>
      <c r="F34" s="1">
        <f>804*1516.3</f>
        <v>1219105.2</v>
      </c>
      <c r="G34" s="1">
        <f>1693*1516.3</f>
        <v>2567095.9</v>
      </c>
      <c r="H34" s="1">
        <f>390*1516.3</f>
        <v>591357</v>
      </c>
      <c r="I34" s="1">
        <v>0</v>
      </c>
      <c r="J34" s="1">
        <f>467*1516.3</f>
        <v>708112.1</v>
      </c>
      <c r="K34" s="1">
        <v>0</v>
      </c>
      <c r="L34" s="2">
        <v>0</v>
      </c>
      <c r="M34" s="1">
        <f>L34*3500000</f>
        <v>0</v>
      </c>
      <c r="N34" s="1">
        <v>0</v>
      </c>
      <c r="O34" s="1">
        <v>0</v>
      </c>
      <c r="P34" s="1">
        <v>50</v>
      </c>
      <c r="Q34" s="1">
        <f>P34*1400</f>
        <v>70000</v>
      </c>
      <c r="R34" s="1">
        <v>1182.3</v>
      </c>
      <c r="S34" s="1">
        <f>R34*3751</f>
        <v>4434807.3</v>
      </c>
      <c r="T34" s="1">
        <v>150000</v>
      </c>
      <c r="U34" s="1">
        <v>50000</v>
      </c>
      <c r="V34" s="1">
        <v>0</v>
      </c>
      <c r="W34" s="1">
        <v>50000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</row>
    <row r="35" spans="1:30" s="20" customFormat="1" ht="30" customHeight="1" x14ac:dyDescent="0.25">
      <c r="A35" s="2">
        <f t="shared" si="4"/>
        <v>24</v>
      </c>
      <c r="B35" s="6">
        <f>A35</f>
        <v>24</v>
      </c>
      <c r="C35" s="19" t="s">
        <v>48</v>
      </c>
      <c r="D35" s="8">
        <f t="shared" si="3"/>
        <v>10100706.600000001</v>
      </c>
      <c r="E35" s="1">
        <f>SUM(F35:K35)</f>
        <v>5133967.8000000007</v>
      </c>
      <c r="F35" s="1">
        <f>804*1530.7</f>
        <v>1230682.8</v>
      </c>
      <c r="G35" s="1">
        <f>1693*1530.7</f>
        <v>2591475.1</v>
      </c>
      <c r="H35" s="1">
        <f>390*1530.7</f>
        <v>596973</v>
      </c>
      <c r="I35" s="1">
        <v>0</v>
      </c>
      <c r="J35" s="1">
        <f>467*1530.7</f>
        <v>714836.9</v>
      </c>
      <c r="K35" s="1">
        <v>0</v>
      </c>
      <c r="L35" s="2">
        <v>0</v>
      </c>
      <c r="M35" s="1">
        <f>L35*3500000</f>
        <v>0</v>
      </c>
      <c r="N35" s="1">
        <v>0</v>
      </c>
      <c r="O35" s="1">
        <v>0</v>
      </c>
      <c r="P35" s="1">
        <v>50</v>
      </c>
      <c r="Q35" s="1">
        <f>P35*1400</f>
        <v>70000</v>
      </c>
      <c r="R35" s="1">
        <v>1238.8</v>
      </c>
      <c r="S35" s="1">
        <f>R35*3751</f>
        <v>4646738.8</v>
      </c>
      <c r="T35" s="1">
        <v>150000</v>
      </c>
      <c r="U35" s="1">
        <v>50000</v>
      </c>
      <c r="V35" s="1">
        <v>0</v>
      </c>
      <c r="W35" s="1">
        <v>50000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</row>
    <row r="36" spans="1:30" s="21" customFormat="1" ht="35.1" customHeight="1" x14ac:dyDescent="0.25">
      <c r="A36" s="2">
        <f t="shared" si="4"/>
        <v>25</v>
      </c>
      <c r="B36" s="6">
        <f>A36</f>
        <v>25</v>
      </c>
      <c r="C36" s="19" t="s">
        <v>49</v>
      </c>
      <c r="D36" s="8">
        <f t="shared" si="3"/>
        <v>2862870.8</v>
      </c>
      <c r="E36" s="1">
        <f>SUM(F36:K36)</f>
        <v>1081337.5</v>
      </c>
      <c r="F36" s="1">
        <f>804*275.5</f>
        <v>221502</v>
      </c>
      <c r="G36" s="1">
        <f>1693*275.5</f>
        <v>466421.5</v>
      </c>
      <c r="H36" s="1">
        <f>390*275.5</f>
        <v>107445</v>
      </c>
      <c r="I36" s="1">
        <f>571*275.5</f>
        <v>157310.5</v>
      </c>
      <c r="J36" s="1">
        <f>467*275.5</f>
        <v>128658.5</v>
      </c>
      <c r="K36" s="1">
        <v>0</v>
      </c>
      <c r="L36" s="2">
        <v>0</v>
      </c>
      <c r="M36" s="1">
        <f>L36*3500000</f>
        <v>0</v>
      </c>
      <c r="N36" s="1">
        <v>0</v>
      </c>
      <c r="O36" s="1">
        <v>0</v>
      </c>
      <c r="P36" s="1">
        <v>0</v>
      </c>
      <c r="Q36" s="1">
        <f>P36*1400</f>
        <v>0</v>
      </c>
      <c r="R36" s="22">
        <v>408.3</v>
      </c>
      <c r="S36" s="1">
        <f>R36*3751</f>
        <v>1531533.3</v>
      </c>
      <c r="T36" s="1">
        <v>150000</v>
      </c>
      <c r="U36" s="1">
        <v>50000</v>
      </c>
      <c r="V36" s="1">
        <v>0</v>
      </c>
      <c r="W36" s="1">
        <v>50000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</row>
    <row r="37" spans="1:30" s="20" customFormat="1" ht="30" customHeight="1" x14ac:dyDescent="0.25">
      <c r="A37" s="2">
        <f t="shared" si="4"/>
        <v>26</v>
      </c>
      <c r="B37" s="6">
        <f t="shared" si="5"/>
        <v>26</v>
      </c>
      <c r="C37" s="19" t="s">
        <v>46</v>
      </c>
      <c r="D37" s="8">
        <f t="shared" si="3"/>
        <v>2382658</v>
      </c>
      <c r="E37" s="1">
        <f t="shared" si="6"/>
        <v>564740</v>
      </c>
      <c r="F37" s="1">
        <f>804*340</f>
        <v>273360</v>
      </c>
      <c r="G37" s="1">
        <v>0</v>
      </c>
      <c r="H37" s="1">
        <f>390*340</f>
        <v>132600</v>
      </c>
      <c r="I37" s="1">
        <v>0</v>
      </c>
      <c r="J37" s="1">
        <f>467*340</f>
        <v>158780</v>
      </c>
      <c r="K37" s="1">
        <v>0</v>
      </c>
      <c r="L37" s="2">
        <v>0</v>
      </c>
      <c r="M37" s="1">
        <f t="shared" si="7"/>
        <v>0</v>
      </c>
      <c r="N37" s="1">
        <v>0</v>
      </c>
      <c r="O37" s="1">
        <v>0</v>
      </c>
      <c r="P37" s="1">
        <v>0</v>
      </c>
      <c r="Q37" s="1">
        <f t="shared" si="8"/>
        <v>0</v>
      </c>
      <c r="R37" s="1">
        <v>418</v>
      </c>
      <c r="S37" s="1">
        <f t="shared" si="9"/>
        <v>1567918</v>
      </c>
      <c r="T37" s="1">
        <v>150000</v>
      </c>
      <c r="U37" s="1">
        <v>50000</v>
      </c>
      <c r="V37" s="1">
        <v>0</v>
      </c>
      <c r="W37" s="1">
        <v>50000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</row>
    <row r="38" spans="1:30" s="21" customFormat="1" ht="35.1" customHeight="1" x14ac:dyDescent="0.25">
      <c r="A38" s="2">
        <f t="shared" si="4"/>
        <v>27</v>
      </c>
      <c r="B38" s="6">
        <f t="shared" si="5"/>
        <v>27</v>
      </c>
      <c r="C38" s="19" t="s">
        <v>50</v>
      </c>
      <c r="D38" s="8">
        <f t="shared" si="3"/>
        <v>2187178.7999999998</v>
      </c>
      <c r="E38" s="1">
        <f t="shared" si="6"/>
        <v>2137178.7999999998</v>
      </c>
      <c r="F38" s="1">
        <v>0</v>
      </c>
      <c r="G38" s="1">
        <v>0</v>
      </c>
      <c r="H38" s="1">
        <v>0</v>
      </c>
      <c r="I38" s="1">
        <v>0</v>
      </c>
      <c r="J38" s="1">
        <f>467*4576.4</f>
        <v>2137178.7999999998</v>
      </c>
      <c r="K38" s="1">
        <v>0</v>
      </c>
      <c r="L38" s="2">
        <v>0</v>
      </c>
      <c r="M38" s="1">
        <f t="shared" si="7"/>
        <v>0</v>
      </c>
      <c r="N38" s="1">
        <v>0</v>
      </c>
      <c r="O38" s="1">
        <v>0</v>
      </c>
      <c r="P38" s="1">
        <v>0</v>
      </c>
      <c r="Q38" s="1">
        <f t="shared" si="8"/>
        <v>0</v>
      </c>
      <c r="R38" s="1">
        <v>0</v>
      </c>
      <c r="S38" s="1">
        <f t="shared" si="9"/>
        <v>0</v>
      </c>
      <c r="T38" s="1">
        <v>0</v>
      </c>
      <c r="U38" s="1">
        <v>50000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</row>
    <row r="39" spans="1:30" s="20" customFormat="1" ht="42.75" customHeight="1" x14ac:dyDescent="0.25">
      <c r="A39" s="2">
        <f t="shared" si="4"/>
        <v>28</v>
      </c>
      <c r="B39" s="6">
        <f t="shared" si="5"/>
        <v>28</v>
      </c>
      <c r="C39" s="19" t="s">
        <v>1691</v>
      </c>
      <c r="D39" s="8">
        <f t="shared" si="3"/>
        <v>7575040</v>
      </c>
      <c r="E39" s="1">
        <f t="shared" si="6"/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2">
        <v>1</v>
      </c>
      <c r="M39" s="1">
        <f t="shared" si="7"/>
        <v>3500000</v>
      </c>
      <c r="N39" s="1">
        <v>780</v>
      </c>
      <c r="O39" s="1">
        <f>N39*4968</f>
        <v>3875040</v>
      </c>
      <c r="P39" s="1">
        <v>0</v>
      </c>
      <c r="Q39" s="1">
        <f t="shared" si="8"/>
        <v>0</v>
      </c>
      <c r="R39" s="1">
        <v>0</v>
      </c>
      <c r="S39" s="1">
        <f t="shared" si="9"/>
        <v>0</v>
      </c>
      <c r="T39" s="1">
        <v>0</v>
      </c>
      <c r="U39" s="1">
        <v>200000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</row>
    <row r="40" spans="1:30" s="21" customFormat="1" ht="35.1" customHeight="1" x14ac:dyDescent="0.25">
      <c r="A40" s="2">
        <f t="shared" si="4"/>
        <v>29</v>
      </c>
      <c r="B40" s="6">
        <f t="shared" si="5"/>
        <v>29</v>
      </c>
      <c r="C40" s="19" t="s">
        <v>51</v>
      </c>
      <c r="D40" s="8">
        <f t="shared" si="3"/>
        <v>20837117.100000001</v>
      </c>
      <c r="E40" s="1">
        <f t="shared" si="6"/>
        <v>17588711.400000002</v>
      </c>
      <c r="F40" s="1">
        <f>804*5244.1</f>
        <v>4216256.4000000004</v>
      </c>
      <c r="G40" s="1">
        <f>1693*5244.1</f>
        <v>8878261.3000000007</v>
      </c>
      <c r="H40" s="1">
        <f>390*5244.1</f>
        <v>2045199.0000000002</v>
      </c>
      <c r="I40" s="1">
        <v>0</v>
      </c>
      <c r="J40" s="1">
        <f>467*5244.1</f>
        <v>2448994.7000000002</v>
      </c>
      <c r="K40" s="1">
        <v>0</v>
      </c>
      <c r="L40" s="2">
        <v>0</v>
      </c>
      <c r="M40" s="1">
        <f t="shared" si="7"/>
        <v>0</v>
      </c>
      <c r="N40" s="1">
        <v>0</v>
      </c>
      <c r="O40" s="1">
        <v>0</v>
      </c>
      <c r="P40" s="1">
        <v>50</v>
      </c>
      <c r="Q40" s="1">
        <f t="shared" si="8"/>
        <v>70000</v>
      </c>
      <c r="R40" s="23">
        <v>780.7</v>
      </c>
      <c r="S40" s="1">
        <f t="shared" si="9"/>
        <v>2928405.7</v>
      </c>
      <c r="T40" s="1">
        <v>150000</v>
      </c>
      <c r="U40" s="1">
        <v>50000</v>
      </c>
      <c r="V40" s="1">
        <v>0</v>
      </c>
      <c r="W40" s="1">
        <v>50000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</row>
    <row r="41" spans="1:30" s="20" customFormat="1" ht="42.75" customHeight="1" x14ac:dyDescent="0.25">
      <c r="A41" s="2">
        <f t="shared" si="4"/>
        <v>30</v>
      </c>
      <c r="B41" s="6">
        <f>A41</f>
        <v>30</v>
      </c>
      <c r="C41" s="19" t="s">
        <v>1693</v>
      </c>
      <c r="D41" s="8">
        <f t="shared" si="3"/>
        <v>3700000</v>
      </c>
      <c r="E41" s="1">
        <f>SUM(F41:K41)</f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2">
        <v>1</v>
      </c>
      <c r="M41" s="1">
        <f>L41*3500000</f>
        <v>3500000</v>
      </c>
      <c r="N41" s="1">
        <v>0</v>
      </c>
      <c r="O41" s="1">
        <v>0</v>
      </c>
      <c r="P41" s="1">
        <v>0</v>
      </c>
      <c r="Q41" s="1">
        <f>P41*1400</f>
        <v>0</v>
      </c>
      <c r="R41" s="1">
        <v>0</v>
      </c>
      <c r="S41" s="1">
        <f>R41*3751</f>
        <v>0</v>
      </c>
      <c r="T41" s="1">
        <v>0</v>
      </c>
      <c r="U41" s="1">
        <v>200000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</row>
    <row r="42" spans="1:30" s="20" customFormat="1" ht="42.75" customHeight="1" x14ac:dyDescent="0.25">
      <c r="A42" s="2">
        <f t="shared" si="4"/>
        <v>31</v>
      </c>
      <c r="B42" s="6">
        <f>A42</f>
        <v>31</v>
      </c>
      <c r="C42" s="19" t="s">
        <v>1692</v>
      </c>
      <c r="D42" s="8">
        <f t="shared" si="3"/>
        <v>28200000</v>
      </c>
      <c r="E42" s="1">
        <f>SUM(F42:K42)</f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2">
        <v>8</v>
      </c>
      <c r="M42" s="1">
        <f>L42*3500000</f>
        <v>28000000</v>
      </c>
      <c r="N42" s="1">
        <v>0</v>
      </c>
      <c r="O42" s="1">
        <v>0</v>
      </c>
      <c r="P42" s="1">
        <v>0</v>
      </c>
      <c r="Q42" s="1">
        <f>P42*1400</f>
        <v>0</v>
      </c>
      <c r="R42" s="1">
        <v>0</v>
      </c>
      <c r="S42" s="1">
        <f>R42*3751</f>
        <v>0</v>
      </c>
      <c r="T42" s="1">
        <v>0</v>
      </c>
      <c r="U42" s="1">
        <v>200000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</row>
    <row r="43" spans="1:30" s="21" customFormat="1" ht="35.1" customHeight="1" x14ac:dyDescent="0.25">
      <c r="A43" s="2">
        <f t="shared" si="4"/>
        <v>32</v>
      </c>
      <c r="B43" s="6">
        <f t="shared" si="5"/>
        <v>32</v>
      </c>
      <c r="C43" s="19" t="s">
        <v>52</v>
      </c>
      <c r="D43" s="8">
        <f t="shared" si="3"/>
        <v>270000</v>
      </c>
      <c r="E43" s="1">
        <f t="shared" si="6"/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2">
        <v>0</v>
      </c>
      <c r="M43" s="1">
        <f t="shared" si="7"/>
        <v>0</v>
      </c>
      <c r="N43" s="1">
        <v>0</v>
      </c>
      <c r="O43" s="1">
        <v>0</v>
      </c>
      <c r="P43" s="1">
        <v>50</v>
      </c>
      <c r="Q43" s="1">
        <f t="shared" si="8"/>
        <v>70000</v>
      </c>
      <c r="R43" s="1">
        <v>0</v>
      </c>
      <c r="S43" s="1">
        <f t="shared" si="9"/>
        <v>0</v>
      </c>
      <c r="T43" s="1">
        <v>150000</v>
      </c>
      <c r="U43" s="1">
        <v>0</v>
      </c>
      <c r="V43" s="1">
        <v>0</v>
      </c>
      <c r="W43" s="1">
        <v>50000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</row>
    <row r="44" spans="1:30" s="20" customFormat="1" ht="42.75" customHeight="1" x14ac:dyDescent="0.25">
      <c r="A44" s="2">
        <f t="shared" si="4"/>
        <v>33</v>
      </c>
      <c r="B44" s="6">
        <f>A44</f>
        <v>33</v>
      </c>
      <c r="C44" s="19" t="s">
        <v>1694</v>
      </c>
      <c r="D44" s="8">
        <f t="shared" si="3"/>
        <v>7200000</v>
      </c>
      <c r="E44" s="1">
        <f>SUM(F44:K44)</f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2">
        <v>2</v>
      </c>
      <c r="M44" s="1">
        <f>L44*3500000</f>
        <v>7000000</v>
      </c>
      <c r="N44" s="1">
        <v>0</v>
      </c>
      <c r="O44" s="1">
        <v>0</v>
      </c>
      <c r="P44" s="1">
        <v>0</v>
      </c>
      <c r="Q44" s="1">
        <f>P44*1400</f>
        <v>0</v>
      </c>
      <c r="R44" s="1">
        <v>0</v>
      </c>
      <c r="S44" s="1">
        <f>R44*3751</f>
        <v>0</v>
      </c>
      <c r="T44" s="1">
        <v>0</v>
      </c>
      <c r="U44" s="1">
        <v>200000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</row>
    <row r="45" spans="1:30" s="21" customFormat="1" ht="35.1" customHeight="1" x14ac:dyDescent="0.25">
      <c r="A45" s="2">
        <f t="shared" si="4"/>
        <v>34</v>
      </c>
      <c r="B45" s="6">
        <f>A45</f>
        <v>34</v>
      </c>
      <c r="C45" s="19" t="s">
        <v>53</v>
      </c>
      <c r="D45" s="8">
        <f t="shared" si="3"/>
        <v>1552496.1400000001</v>
      </c>
      <c r="E45" s="1">
        <f>SUM(F45:K45)</f>
        <v>464747.80000000005</v>
      </c>
      <c r="F45" s="1">
        <f>804*279.8</f>
        <v>224959.2</v>
      </c>
      <c r="G45" s="1">
        <v>0</v>
      </c>
      <c r="H45" s="1">
        <f>390*279.8</f>
        <v>109122</v>
      </c>
      <c r="I45" s="1">
        <v>0</v>
      </c>
      <c r="J45" s="1">
        <f>467*279.8</f>
        <v>130666.6</v>
      </c>
      <c r="K45" s="1">
        <v>0</v>
      </c>
      <c r="L45" s="2">
        <v>0</v>
      </c>
      <c r="M45" s="1">
        <f>L45*3500000</f>
        <v>0</v>
      </c>
      <c r="N45" s="1">
        <v>0</v>
      </c>
      <c r="O45" s="1">
        <v>0</v>
      </c>
      <c r="P45" s="1">
        <v>0</v>
      </c>
      <c r="Q45" s="1">
        <f>P45*1400</f>
        <v>0</v>
      </c>
      <c r="R45" s="1">
        <v>223.34</v>
      </c>
      <c r="S45" s="1">
        <f>R45*3751</f>
        <v>837748.34</v>
      </c>
      <c r="T45" s="1">
        <v>150000</v>
      </c>
      <c r="U45" s="1">
        <v>50000</v>
      </c>
      <c r="V45" s="1">
        <v>0</v>
      </c>
      <c r="W45" s="1">
        <v>50000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</row>
    <row r="46" spans="1:30" s="21" customFormat="1" ht="35.1" customHeight="1" x14ac:dyDescent="0.25">
      <c r="A46" s="2">
        <f t="shared" si="4"/>
        <v>35</v>
      </c>
      <c r="B46" s="6">
        <f t="shared" si="5"/>
        <v>35</v>
      </c>
      <c r="C46" s="19" t="s">
        <v>1967</v>
      </c>
      <c r="D46" s="8">
        <f t="shared" si="3"/>
        <v>4312500</v>
      </c>
      <c r="E46" s="1">
        <f t="shared" si="6"/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2">
        <v>0</v>
      </c>
      <c r="M46" s="1">
        <f t="shared" si="7"/>
        <v>0</v>
      </c>
      <c r="N46" s="1">
        <v>550</v>
      </c>
      <c r="O46" s="1">
        <f>N46*7750</f>
        <v>4262500</v>
      </c>
      <c r="P46" s="1">
        <v>0</v>
      </c>
      <c r="Q46" s="1">
        <f t="shared" si="8"/>
        <v>0</v>
      </c>
      <c r="R46" s="1">
        <v>0</v>
      </c>
      <c r="S46" s="1">
        <f t="shared" si="9"/>
        <v>0</v>
      </c>
      <c r="T46" s="1">
        <v>0</v>
      </c>
      <c r="U46" s="1">
        <v>0</v>
      </c>
      <c r="V46" s="1">
        <v>0</v>
      </c>
      <c r="W46" s="1">
        <v>50000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</row>
    <row r="47" spans="1:30" s="20" customFormat="1" ht="42.75" customHeight="1" x14ac:dyDescent="0.25">
      <c r="A47" s="2">
        <f t="shared" si="4"/>
        <v>36</v>
      </c>
      <c r="B47" s="6">
        <f>A47</f>
        <v>36</v>
      </c>
      <c r="C47" s="19" t="s">
        <v>1695</v>
      </c>
      <c r="D47" s="8">
        <f t="shared" si="3"/>
        <v>3700000</v>
      </c>
      <c r="E47" s="1">
        <f>SUM(F47:K47)</f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2">
        <v>1</v>
      </c>
      <c r="M47" s="1">
        <f>L47*3500000</f>
        <v>3500000</v>
      </c>
      <c r="N47" s="1">
        <v>0</v>
      </c>
      <c r="O47" s="1">
        <v>0</v>
      </c>
      <c r="P47" s="1">
        <v>0</v>
      </c>
      <c r="Q47" s="1">
        <f>P47*1400</f>
        <v>0</v>
      </c>
      <c r="R47" s="1">
        <v>0</v>
      </c>
      <c r="S47" s="1">
        <f>R47*3751</f>
        <v>0</v>
      </c>
      <c r="T47" s="1">
        <v>0</v>
      </c>
      <c r="U47" s="1">
        <v>200000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</row>
    <row r="48" spans="1:30" s="20" customFormat="1" ht="42.75" customHeight="1" x14ac:dyDescent="0.25">
      <c r="A48" s="2">
        <f t="shared" si="4"/>
        <v>37</v>
      </c>
      <c r="B48" s="6">
        <f>A48</f>
        <v>37</v>
      </c>
      <c r="C48" s="19" t="s">
        <v>1696</v>
      </c>
      <c r="D48" s="8">
        <f t="shared" si="3"/>
        <v>3700000</v>
      </c>
      <c r="E48" s="1">
        <f>SUM(F48:K48)</f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2">
        <v>1</v>
      </c>
      <c r="M48" s="1">
        <f>L48*3500000</f>
        <v>3500000</v>
      </c>
      <c r="N48" s="1">
        <v>0</v>
      </c>
      <c r="O48" s="1">
        <v>0</v>
      </c>
      <c r="P48" s="1">
        <v>0</v>
      </c>
      <c r="Q48" s="1">
        <f>P48*1400</f>
        <v>0</v>
      </c>
      <c r="R48" s="1">
        <v>0</v>
      </c>
      <c r="S48" s="1">
        <f>R48*3751</f>
        <v>0</v>
      </c>
      <c r="T48" s="1">
        <v>0</v>
      </c>
      <c r="U48" s="1">
        <v>200000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</row>
    <row r="49" spans="1:30" s="21" customFormat="1" ht="35.1" customHeight="1" x14ac:dyDescent="0.25">
      <c r="A49" s="2">
        <f t="shared" si="4"/>
        <v>38</v>
      </c>
      <c r="B49" s="6">
        <f t="shared" si="5"/>
        <v>38</v>
      </c>
      <c r="C49" s="19" t="s">
        <v>54</v>
      </c>
      <c r="D49" s="8">
        <f t="shared" si="3"/>
        <v>3178592.06</v>
      </c>
      <c r="E49" s="1">
        <f t="shared" si="6"/>
        <v>1422565.56</v>
      </c>
      <c r="F49" s="1">
        <f>804*424.14</f>
        <v>341008.56</v>
      </c>
      <c r="G49" s="1">
        <f>1693*424.14</f>
        <v>718069.02</v>
      </c>
      <c r="H49" s="1">
        <f>390*424.14</f>
        <v>165414.6</v>
      </c>
      <c r="I49" s="1">
        <v>0</v>
      </c>
      <c r="J49" s="1">
        <f>467*424.14</f>
        <v>198073.38</v>
      </c>
      <c r="K49" s="1">
        <v>0</v>
      </c>
      <c r="L49" s="2">
        <v>0</v>
      </c>
      <c r="M49" s="1">
        <f t="shared" si="7"/>
        <v>0</v>
      </c>
      <c r="N49" s="1">
        <v>0</v>
      </c>
      <c r="O49" s="1">
        <v>0</v>
      </c>
      <c r="P49" s="1">
        <v>0</v>
      </c>
      <c r="Q49" s="1">
        <f t="shared" si="8"/>
        <v>0</v>
      </c>
      <c r="R49" s="1">
        <v>401.5</v>
      </c>
      <c r="S49" s="1">
        <f t="shared" si="9"/>
        <v>1506026.5</v>
      </c>
      <c r="T49" s="1">
        <v>150000</v>
      </c>
      <c r="U49" s="1">
        <v>50000</v>
      </c>
      <c r="V49" s="1">
        <v>0</v>
      </c>
      <c r="W49" s="1">
        <v>50000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</row>
    <row r="50" spans="1:30" s="21" customFormat="1" ht="35.1" customHeight="1" x14ac:dyDescent="0.25">
      <c r="A50" s="2">
        <f t="shared" si="4"/>
        <v>39</v>
      </c>
      <c r="B50" s="6">
        <f t="shared" si="5"/>
        <v>39</v>
      </c>
      <c r="C50" s="19" t="s">
        <v>55</v>
      </c>
      <c r="D50" s="8">
        <f t="shared" si="3"/>
        <v>3215964.52</v>
      </c>
      <c r="E50" s="1">
        <f t="shared" si="6"/>
        <v>1461438.42</v>
      </c>
      <c r="F50" s="1">
        <f>804*435.73</f>
        <v>350326.92000000004</v>
      </c>
      <c r="G50" s="1">
        <f>1693*435.73</f>
        <v>737690.89</v>
      </c>
      <c r="H50" s="1">
        <f>390*435.73</f>
        <v>169934.7</v>
      </c>
      <c r="I50" s="1">
        <v>0</v>
      </c>
      <c r="J50" s="1">
        <f>467*435.73</f>
        <v>203485.91</v>
      </c>
      <c r="K50" s="1">
        <v>0</v>
      </c>
      <c r="L50" s="2">
        <v>0</v>
      </c>
      <c r="M50" s="1">
        <f t="shared" si="7"/>
        <v>0</v>
      </c>
      <c r="N50" s="1">
        <v>0</v>
      </c>
      <c r="O50" s="1">
        <v>0</v>
      </c>
      <c r="P50" s="1">
        <v>0</v>
      </c>
      <c r="Q50" s="1">
        <f t="shared" si="8"/>
        <v>0</v>
      </c>
      <c r="R50" s="1">
        <v>401.1</v>
      </c>
      <c r="S50" s="1">
        <f t="shared" si="9"/>
        <v>1504526.1</v>
      </c>
      <c r="T50" s="1">
        <v>150000</v>
      </c>
      <c r="U50" s="1">
        <v>50000</v>
      </c>
      <c r="V50" s="1">
        <v>0</v>
      </c>
      <c r="W50" s="1">
        <v>50000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</row>
    <row r="51" spans="1:30" s="21" customFormat="1" ht="35.1" customHeight="1" x14ac:dyDescent="0.25">
      <c r="A51" s="2">
        <f t="shared" si="4"/>
        <v>40</v>
      </c>
      <c r="B51" s="6">
        <f t="shared" si="5"/>
        <v>40</v>
      </c>
      <c r="C51" s="19" t="s">
        <v>56</v>
      </c>
      <c r="D51" s="8">
        <f t="shared" si="3"/>
        <v>6245619.9000000004</v>
      </c>
      <c r="E51" s="1">
        <f t="shared" si="6"/>
        <v>930824.39999999991</v>
      </c>
      <c r="F51" s="1">
        <f>804*560.4</f>
        <v>450561.6</v>
      </c>
      <c r="G51" s="1">
        <v>0</v>
      </c>
      <c r="H51" s="1">
        <f>390*560.4</f>
        <v>218556</v>
      </c>
      <c r="I51" s="1">
        <v>0</v>
      </c>
      <c r="J51" s="1">
        <f>467*560.4</f>
        <v>261706.8</v>
      </c>
      <c r="K51" s="1">
        <v>0</v>
      </c>
      <c r="L51" s="2">
        <v>0</v>
      </c>
      <c r="M51" s="1">
        <f t="shared" si="7"/>
        <v>0</v>
      </c>
      <c r="N51" s="1">
        <v>450</v>
      </c>
      <c r="O51" s="1">
        <f>N51*7750</f>
        <v>3487500</v>
      </c>
      <c r="P51" s="1">
        <v>0</v>
      </c>
      <c r="Q51" s="1">
        <f t="shared" si="8"/>
        <v>0</v>
      </c>
      <c r="R51" s="1">
        <v>420.5</v>
      </c>
      <c r="S51" s="1">
        <f t="shared" si="9"/>
        <v>1577295.5</v>
      </c>
      <c r="T51" s="1">
        <v>150000</v>
      </c>
      <c r="U51" s="1">
        <v>50000</v>
      </c>
      <c r="V51" s="1">
        <v>0</v>
      </c>
      <c r="W51" s="1">
        <v>50000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</row>
    <row r="52" spans="1:30" s="20" customFormat="1" ht="36" customHeight="1" x14ac:dyDescent="0.25">
      <c r="A52" s="2">
        <f>ROW()-ROW($A$11)</f>
        <v>41</v>
      </c>
      <c r="B52" s="3">
        <f t="shared" si="5"/>
        <v>41</v>
      </c>
      <c r="C52" s="19" t="s">
        <v>2025</v>
      </c>
      <c r="D52" s="4">
        <f t="shared" si="3"/>
        <v>3775680</v>
      </c>
      <c r="E52" s="1">
        <f t="shared" si="6"/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2">
        <v>0</v>
      </c>
      <c r="M52" s="1">
        <v>0</v>
      </c>
      <c r="N52" s="1">
        <v>760</v>
      </c>
      <c r="O52" s="1">
        <f>N52*4968</f>
        <v>3775680</v>
      </c>
      <c r="P52" s="1">
        <v>0</v>
      </c>
      <c r="Q52" s="1">
        <f t="shared" si="8"/>
        <v>0</v>
      </c>
      <c r="R52" s="1">
        <v>0</v>
      </c>
      <c r="S52" s="1">
        <f t="shared" si="9"/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</row>
    <row r="53" spans="1:30" s="20" customFormat="1" ht="36" customHeight="1" x14ac:dyDescent="0.25">
      <c r="A53" s="2">
        <f>ROW()-ROW($A$11)</f>
        <v>42</v>
      </c>
      <c r="B53" s="3">
        <f t="shared" si="5"/>
        <v>42</v>
      </c>
      <c r="C53" s="19" t="s">
        <v>1207</v>
      </c>
      <c r="D53" s="4">
        <f t="shared" si="3"/>
        <v>2484000</v>
      </c>
      <c r="E53" s="1">
        <f t="shared" si="6"/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2">
        <v>0</v>
      </c>
      <c r="M53" s="1">
        <v>0</v>
      </c>
      <c r="N53" s="1">
        <v>500</v>
      </c>
      <c r="O53" s="1">
        <f>N53*4968</f>
        <v>2484000</v>
      </c>
      <c r="P53" s="1">
        <v>0</v>
      </c>
      <c r="Q53" s="1">
        <f t="shared" si="8"/>
        <v>0</v>
      </c>
      <c r="R53" s="1">
        <v>0</v>
      </c>
      <c r="S53" s="1">
        <f t="shared" si="9"/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</row>
    <row r="54" spans="1:30" s="21" customFormat="1" ht="35.1" customHeight="1" x14ac:dyDescent="0.25">
      <c r="A54" s="2">
        <f t="shared" si="4"/>
        <v>43</v>
      </c>
      <c r="B54" s="6">
        <f t="shared" si="5"/>
        <v>43</v>
      </c>
      <c r="C54" s="19" t="s">
        <v>1623</v>
      </c>
      <c r="D54" s="8">
        <f t="shared" si="3"/>
        <v>1739120</v>
      </c>
      <c r="E54" s="1">
        <f t="shared" si="6"/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2">
        <v>0</v>
      </c>
      <c r="M54" s="1">
        <f t="shared" si="7"/>
        <v>0</v>
      </c>
      <c r="N54" s="1">
        <v>340</v>
      </c>
      <c r="O54" s="1">
        <f>N54*4968</f>
        <v>1689120</v>
      </c>
      <c r="P54" s="1">
        <v>0</v>
      </c>
      <c r="Q54" s="1">
        <f t="shared" si="8"/>
        <v>0</v>
      </c>
      <c r="R54" s="1">
        <v>0</v>
      </c>
      <c r="S54" s="1">
        <f t="shared" si="9"/>
        <v>0</v>
      </c>
      <c r="T54" s="1">
        <v>0</v>
      </c>
      <c r="U54" s="1">
        <v>0</v>
      </c>
      <c r="V54" s="1">
        <v>0</v>
      </c>
      <c r="W54" s="1">
        <v>50000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</row>
    <row r="55" spans="1:30" s="21" customFormat="1" ht="35.1" customHeight="1" x14ac:dyDescent="0.25">
      <c r="A55" s="2">
        <f t="shared" si="4"/>
        <v>44</v>
      </c>
      <c r="B55" s="2">
        <f t="shared" si="5"/>
        <v>44</v>
      </c>
      <c r="C55" s="19" t="s">
        <v>57</v>
      </c>
      <c r="D55" s="38">
        <f t="shared" si="3"/>
        <v>1716040.8399999999</v>
      </c>
      <c r="E55" s="1">
        <f t="shared" si="6"/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2">
        <v>0</v>
      </c>
      <c r="M55" s="1">
        <f t="shared" si="7"/>
        <v>0</v>
      </c>
      <c r="N55" s="1">
        <v>0</v>
      </c>
      <c r="O55" s="1">
        <v>0</v>
      </c>
      <c r="P55" s="1">
        <v>0</v>
      </c>
      <c r="Q55" s="1">
        <f t="shared" si="8"/>
        <v>0</v>
      </c>
      <c r="R55" s="1">
        <v>390.84</v>
      </c>
      <c r="S55" s="1">
        <f t="shared" si="9"/>
        <v>1466040.8399999999</v>
      </c>
      <c r="T55" s="1">
        <v>150000</v>
      </c>
      <c r="U55" s="1">
        <v>50000</v>
      </c>
      <c r="V55" s="1">
        <v>0</v>
      </c>
      <c r="W55" s="1">
        <v>50000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</row>
    <row r="56" spans="1:30" s="21" customFormat="1" ht="35.1" customHeight="1" x14ac:dyDescent="0.25">
      <c r="A56" s="2">
        <f t="shared" si="4"/>
        <v>45</v>
      </c>
      <c r="B56" s="2">
        <f t="shared" si="5"/>
        <v>45</v>
      </c>
      <c r="C56" s="19" t="s">
        <v>58</v>
      </c>
      <c r="D56" s="38">
        <f t="shared" si="3"/>
        <v>3137107.1900000004</v>
      </c>
      <c r="E56" s="1">
        <f t="shared" si="6"/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2">
        <v>0</v>
      </c>
      <c r="M56" s="1">
        <f t="shared" si="7"/>
        <v>0</v>
      </c>
      <c r="N56" s="1">
        <v>0</v>
      </c>
      <c r="O56" s="1">
        <v>0</v>
      </c>
      <c r="P56" s="1">
        <v>0</v>
      </c>
      <c r="Q56" s="1">
        <f t="shared" si="8"/>
        <v>0</v>
      </c>
      <c r="R56" s="1">
        <v>769.69</v>
      </c>
      <c r="S56" s="1">
        <f t="shared" si="9"/>
        <v>2887107.1900000004</v>
      </c>
      <c r="T56" s="1">
        <v>150000</v>
      </c>
      <c r="U56" s="1">
        <v>50000</v>
      </c>
      <c r="V56" s="1">
        <v>0</v>
      </c>
      <c r="W56" s="1">
        <v>50000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</row>
    <row r="57" spans="1:30" s="21" customFormat="1" ht="35.1" customHeight="1" x14ac:dyDescent="0.25">
      <c r="A57" s="2">
        <f t="shared" si="4"/>
        <v>46</v>
      </c>
      <c r="B57" s="6">
        <f t="shared" si="5"/>
        <v>46</v>
      </c>
      <c r="C57" s="19" t="s">
        <v>59</v>
      </c>
      <c r="D57" s="8">
        <f t="shared" si="3"/>
        <v>2893316.9</v>
      </c>
      <c r="E57" s="1">
        <f t="shared" si="6"/>
        <v>1067856.8999999999</v>
      </c>
      <c r="F57" s="1">
        <f>804*642.9</f>
        <v>516891.6</v>
      </c>
      <c r="G57" s="1">
        <v>0</v>
      </c>
      <c r="H57" s="1">
        <f>390*642.9</f>
        <v>250731</v>
      </c>
      <c r="I57" s="1">
        <v>0</v>
      </c>
      <c r="J57" s="1">
        <f>467*642.9</f>
        <v>300234.3</v>
      </c>
      <c r="K57" s="1">
        <v>0</v>
      </c>
      <c r="L57" s="2">
        <v>0</v>
      </c>
      <c r="M57" s="1">
        <f t="shared" si="7"/>
        <v>0</v>
      </c>
      <c r="N57" s="1">
        <v>0</v>
      </c>
      <c r="O57" s="1">
        <v>0</v>
      </c>
      <c r="P57" s="1">
        <v>0</v>
      </c>
      <c r="Q57" s="1">
        <f t="shared" si="8"/>
        <v>0</v>
      </c>
      <c r="R57" s="1">
        <v>460</v>
      </c>
      <c r="S57" s="1">
        <f t="shared" si="9"/>
        <v>1725460</v>
      </c>
      <c r="T57" s="1">
        <v>0</v>
      </c>
      <c r="U57" s="1">
        <v>50000</v>
      </c>
      <c r="V57" s="1">
        <v>0</v>
      </c>
      <c r="W57" s="1">
        <v>50000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</row>
    <row r="58" spans="1:30" s="20" customFormat="1" ht="54.95" customHeight="1" x14ac:dyDescent="0.25">
      <c r="A58" s="3"/>
      <c r="B58" s="47" t="s">
        <v>1968</v>
      </c>
      <c r="C58" s="48"/>
      <c r="D58" s="4">
        <f>SUM(D59:D71)</f>
        <v>81789401</v>
      </c>
      <c r="E58" s="4">
        <f t="shared" ref="E58:AD58" si="10">SUM(E59:E71)</f>
        <v>1231704</v>
      </c>
      <c r="F58" s="4">
        <f t="shared" si="10"/>
        <v>332856</v>
      </c>
      <c r="G58" s="4">
        <f t="shared" si="10"/>
        <v>487584</v>
      </c>
      <c r="H58" s="4">
        <f t="shared" si="10"/>
        <v>112320</v>
      </c>
      <c r="I58" s="4">
        <f t="shared" si="10"/>
        <v>164448</v>
      </c>
      <c r="J58" s="4">
        <f t="shared" si="10"/>
        <v>134496</v>
      </c>
      <c r="K58" s="4">
        <f t="shared" si="10"/>
        <v>0</v>
      </c>
      <c r="L58" s="17">
        <f t="shared" si="10"/>
        <v>18</v>
      </c>
      <c r="M58" s="4">
        <f t="shared" si="10"/>
        <v>63000000</v>
      </c>
      <c r="N58" s="4">
        <f t="shared" si="10"/>
        <v>1904</v>
      </c>
      <c r="O58" s="4">
        <f t="shared" si="10"/>
        <v>10850072</v>
      </c>
      <c r="P58" s="4">
        <f t="shared" si="10"/>
        <v>0</v>
      </c>
      <c r="Q58" s="4">
        <f t="shared" si="10"/>
        <v>0</v>
      </c>
      <c r="R58" s="4">
        <f t="shared" si="10"/>
        <v>1375</v>
      </c>
      <c r="S58" s="4">
        <f t="shared" si="10"/>
        <v>5157625</v>
      </c>
      <c r="T58" s="4">
        <f t="shared" si="10"/>
        <v>0</v>
      </c>
      <c r="U58" s="4">
        <f t="shared" si="10"/>
        <v>1500000</v>
      </c>
      <c r="V58" s="4">
        <f t="shared" si="10"/>
        <v>0</v>
      </c>
      <c r="W58" s="4">
        <f t="shared" si="10"/>
        <v>50000</v>
      </c>
      <c r="X58" s="4">
        <f t="shared" si="10"/>
        <v>0</v>
      </c>
      <c r="Y58" s="4">
        <f t="shared" si="10"/>
        <v>0</v>
      </c>
      <c r="Z58" s="4">
        <f t="shared" si="10"/>
        <v>0</v>
      </c>
      <c r="AA58" s="4">
        <f t="shared" si="10"/>
        <v>0</v>
      </c>
      <c r="AB58" s="4">
        <f t="shared" si="10"/>
        <v>0</v>
      </c>
      <c r="AC58" s="4">
        <f t="shared" si="10"/>
        <v>0</v>
      </c>
      <c r="AD58" s="4">
        <f t="shared" si="10"/>
        <v>0</v>
      </c>
    </row>
    <row r="59" spans="1:30" s="20" customFormat="1" ht="42.75" customHeight="1" x14ac:dyDescent="0.25">
      <c r="A59" s="2">
        <f t="shared" ref="A59:A71" si="11">ROW()-ROW($A$11)-1</f>
        <v>47</v>
      </c>
      <c r="B59" s="6">
        <f>A59</f>
        <v>47</v>
      </c>
      <c r="C59" s="19" t="s">
        <v>1697</v>
      </c>
      <c r="D59" s="8">
        <f t="shared" ref="D59:D71" si="12">E59+M59+O59+Q59+S59+T59+U59+V59+W59+X59+Z59+AA59+AB59+AC59+AD59</f>
        <v>7200000</v>
      </c>
      <c r="E59" s="1">
        <f t="shared" ref="E59:E68" si="13">SUM(F59:K59)</f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2">
        <v>2</v>
      </c>
      <c r="M59" s="1">
        <f>L59*3500000</f>
        <v>7000000</v>
      </c>
      <c r="N59" s="1">
        <v>0</v>
      </c>
      <c r="O59" s="1">
        <v>0</v>
      </c>
      <c r="P59" s="1">
        <v>0</v>
      </c>
      <c r="Q59" s="1">
        <f>P59*1400</f>
        <v>0</v>
      </c>
      <c r="R59" s="1">
        <v>0</v>
      </c>
      <c r="S59" s="1">
        <f t="shared" ref="S59:S69" si="14">R59*3751</f>
        <v>0</v>
      </c>
      <c r="T59" s="1">
        <v>0</v>
      </c>
      <c r="U59" s="1">
        <v>200000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</row>
    <row r="60" spans="1:30" s="20" customFormat="1" ht="42.75" customHeight="1" x14ac:dyDescent="0.25">
      <c r="A60" s="2">
        <f t="shared" si="11"/>
        <v>48</v>
      </c>
      <c r="B60" s="6">
        <f>A60</f>
        <v>48</v>
      </c>
      <c r="C60" s="19" t="s">
        <v>1698</v>
      </c>
      <c r="D60" s="8">
        <f t="shared" si="12"/>
        <v>7200000</v>
      </c>
      <c r="E60" s="1">
        <f t="shared" si="13"/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2">
        <v>2</v>
      </c>
      <c r="M60" s="1">
        <f>L60*3500000</f>
        <v>7000000</v>
      </c>
      <c r="N60" s="1">
        <v>0</v>
      </c>
      <c r="O60" s="1">
        <v>0</v>
      </c>
      <c r="P60" s="1">
        <v>0</v>
      </c>
      <c r="Q60" s="1">
        <f>P60*1400</f>
        <v>0</v>
      </c>
      <c r="R60" s="1">
        <v>0</v>
      </c>
      <c r="S60" s="1">
        <f t="shared" si="14"/>
        <v>0</v>
      </c>
      <c r="T60" s="1">
        <v>0</v>
      </c>
      <c r="U60" s="1">
        <v>200000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</row>
    <row r="61" spans="1:30" s="20" customFormat="1" ht="42.75" customHeight="1" x14ac:dyDescent="0.25">
      <c r="A61" s="2">
        <f t="shared" si="11"/>
        <v>49</v>
      </c>
      <c r="B61" s="6">
        <f>A61</f>
        <v>49</v>
      </c>
      <c r="C61" s="19" t="s">
        <v>1699</v>
      </c>
      <c r="D61" s="8">
        <f t="shared" si="12"/>
        <v>17700000</v>
      </c>
      <c r="E61" s="1">
        <f t="shared" si="13"/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2">
        <v>5</v>
      </c>
      <c r="M61" s="1">
        <f>L61*3500000</f>
        <v>17500000</v>
      </c>
      <c r="N61" s="1">
        <v>0</v>
      </c>
      <c r="O61" s="1">
        <v>0</v>
      </c>
      <c r="P61" s="1">
        <v>0</v>
      </c>
      <c r="Q61" s="1">
        <f>P61*1400</f>
        <v>0</v>
      </c>
      <c r="R61" s="1">
        <v>0</v>
      </c>
      <c r="S61" s="1">
        <f t="shared" si="14"/>
        <v>0</v>
      </c>
      <c r="T61" s="1">
        <v>0</v>
      </c>
      <c r="U61" s="1">
        <v>200000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</row>
    <row r="62" spans="1:30" s="21" customFormat="1" ht="35.1" customHeight="1" x14ac:dyDescent="0.25">
      <c r="A62" s="2">
        <f t="shared" si="11"/>
        <v>50</v>
      </c>
      <c r="B62" s="6">
        <f t="shared" ref="B62:B138" si="15">A62</f>
        <v>50</v>
      </c>
      <c r="C62" s="19" t="s">
        <v>60</v>
      </c>
      <c r="D62" s="8">
        <f t="shared" si="12"/>
        <v>4656073</v>
      </c>
      <c r="E62" s="1">
        <f t="shared" si="13"/>
        <v>898848</v>
      </c>
      <c r="F62" s="1">
        <v>0</v>
      </c>
      <c r="G62" s="1">
        <f>1693*288</f>
        <v>487584</v>
      </c>
      <c r="H62" s="1">
        <f>390*288</f>
        <v>112320</v>
      </c>
      <c r="I62" s="1">
        <f>571*288</f>
        <v>164448</v>
      </c>
      <c r="J62" s="1">
        <f>467*288</f>
        <v>134496</v>
      </c>
      <c r="K62" s="1">
        <v>0</v>
      </c>
      <c r="L62" s="2">
        <v>0</v>
      </c>
      <c r="M62" s="1">
        <v>0</v>
      </c>
      <c r="N62" s="1">
        <v>0</v>
      </c>
      <c r="O62" s="1">
        <f>N62*7750</f>
        <v>0</v>
      </c>
      <c r="P62" s="1">
        <v>0</v>
      </c>
      <c r="Q62" s="1">
        <v>0</v>
      </c>
      <c r="R62" s="1">
        <v>975</v>
      </c>
      <c r="S62" s="1">
        <f t="shared" si="14"/>
        <v>3657225</v>
      </c>
      <c r="T62" s="1">
        <v>0</v>
      </c>
      <c r="U62" s="1">
        <v>50000</v>
      </c>
      <c r="V62" s="1">
        <v>0</v>
      </c>
      <c r="W62" s="1">
        <v>50000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</row>
    <row r="63" spans="1:30" s="20" customFormat="1" ht="30" customHeight="1" x14ac:dyDescent="0.25">
      <c r="A63" s="2">
        <f>ROW()-ROW($A$11)-1</f>
        <v>51</v>
      </c>
      <c r="B63" s="6">
        <f>A63</f>
        <v>51</v>
      </c>
      <c r="C63" s="19" t="s">
        <v>2238</v>
      </c>
      <c r="D63" s="8">
        <f t="shared" si="12"/>
        <v>3700000</v>
      </c>
      <c r="E63" s="1">
        <f>SUM(F63:K63)</f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2">
        <v>1</v>
      </c>
      <c r="M63" s="1">
        <f>L63*3500000</f>
        <v>3500000</v>
      </c>
      <c r="N63" s="1">
        <v>0</v>
      </c>
      <c r="O63" s="1">
        <v>0</v>
      </c>
      <c r="P63" s="1">
        <v>0</v>
      </c>
      <c r="Q63" s="1">
        <f>1400*P63</f>
        <v>0</v>
      </c>
      <c r="R63" s="1">
        <v>0</v>
      </c>
      <c r="S63" s="1">
        <f>R63*3751</f>
        <v>0</v>
      </c>
      <c r="T63" s="1">
        <v>0</v>
      </c>
      <c r="U63" s="1">
        <v>200000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</row>
    <row r="64" spans="1:30" s="20" customFormat="1" ht="42.75" customHeight="1" x14ac:dyDescent="0.25">
      <c r="A64" s="2">
        <f t="shared" si="11"/>
        <v>52</v>
      </c>
      <c r="B64" s="6">
        <f t="shared" ref="B64:B65" si="16">A64</f>
        <v>52</v>
      </c>
      <c r="C64" s="19" t="s">
        <v>2035</v>
      </c>
      <c r="D64" s="8">
        <f t="shared" si="12"/>
        <v>3875000</v>
      </c>
      <c r="E64" s="1">
        <f t="shared" ref="E64" si="17">SUM(F64:K64)</f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2">
        <v>0</v>
      </c>
      <c r="M64" s="1">
        <f>L64*3500000</f>
        <v>0</v>
      </c>
      <c r="N64" s="1">
        <v>500</v>
      </c>
      <c r="O64" s="1">
        <f>N64*7750</f>
        <v>3875000</v>
      </c>
      <c r="P64" s="1">
        <v>0</v>
      </c>
      <c r="Q64" s="1">
        <f>P64*1400</f>
        <v>0</v>
      </c>
      <c r="R64" s="1">
        <v>0</v>
      </c>
      <c r="S64" s="1">
        <f t="shared" ref="S64:S65" si="18">R64*3751</f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</row>
    <row r="65" spans="1:30" s="20" customFormat="1" ht="36" customHeight="1" x14ac:dyDescent="0.25">
      <c r="A65" s="2">
        <f t="shared" si="11"/>
        <v>53</v>
      </c>
      <c r="B65" s="3">
        <f t="shared" si="16"/>
        <v>53</v>
      </c>
      <c r="C65" s="19" t="s">
        <v>2037</v>
      </c>
      <c r="D65" s="4">
        <f t="shared" si="12"/>
        <v>2608200</v>
      </c>
      <c r="E65" s="1">
        <f t="shared" ref="E65" si="19">SUM(F65:K65)</f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2">
        <v>0</v>
      </c>
      <c r="M65" s="1">
        <v>0</v>
      </c>
      <c r="N65" s="1">
        <v>525</v>
      </c>
      <c r="O65" s="1">
        <f>N65*4968</f>
        <v>2608200</v>
      </c>
      <c r="P65" s="1">
        <v>0</v>
      </c>
      <c r="Q65" s="1">
        <f t="shared" ref="Q65" si="20">P65*1400</f>
        <v>0</v>
      </c>
      <c r="R65" s="1">
        <v>0</v>
      </c>
      <c r="S65" s="1">
        <f t="shared" si="18"/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</row>
    <row r="66" spans="1:30" s="20" customFormat="1" ht="42.75" customHeight="1" x14ac:dyDescent="0.25">
      <c r="A66" s="2">
        <f t="shared" si="11"/>
        <v>54</v>
      </c>
      <c r="B66" s="6">
        <f t="shared" si="15"/>
        <v>54</v>
      </c>
      <c r="C66" s="19" t="s">
        <v>1700</v>
      </c>
      <c r="D66" s="8">
        <f t="shared" si="12"/>
        <v>14200000</v>
      </c>
      <c r="E66" s="1">
        <f t="shared" si="13"/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2">
        <v>4</v>
      </c>
      <c r="M66" s="1">
        <f>L66*3500000</f>
        <v>14000000</v>
      </c>
      <c r="N66" s="1">
        <v>0</v>
      </c>
      <c r="O66" s="1">
        <v>0</v>
      </c>
      <c r="P66" s="1">
        <v>0</v>
      </c>
      <c r="Q66" s="1">
        <f>P66*1400</f>
        <v>0</v>
      </c>
      <c r="R66" s="1">
        <v>0</v>
      </c>
      <c r="S66" s="1">
        <f t="shared" si="14"/>
        <v>0</v>
      </c>
      <c r="T66" s="1">
        <v>0</v>
      </c>
      <c r="U66" s="1">
        <v>200000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</row>
    <row r="67" spans="1:30" s="20" customFormat="1" ht="30" customHeight="1" x14ac:dyDescent="0.25">
      <c r="A67" s="2">
        <f>ROW()-ROW($A$11)-1</f>
        <v>55</v>
      </c>
      <c r="B67" s="6">
        <f>A67</f>
        <v>55</v>
      </c>
      <c r="C67" s="19" t="s">
        <v>2448</v>
      </c>
      <c r="D67" s="8">
        <f t="shared" si="12"/>
        <v>10700000</v>
      </c>
      <c r="E67" s="1">
        <f>SUM(F67:K67)</f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2">
        <v>3</v>
      </c>
      <c r="M67" s="1">
        <f>L67*3500000</f>
        <v>10500000</v>
      </c>
      <c r="N67" s="1">
        <v>0</v>
      </c>
      <c r="O67" s="1">
        <v>0</v>
      </c>
      <c r="P67" s="1">
        <v>0</v>
      </c>
      <c r="Q67" s="1">
        <f>1400*P67</f>
        <v>0</v>
      </c>
      <c r="R67" s="1">
        <v>0</v>
      </c>
      <c r="S67" s="1">
        <f>R67*3751</f>
        <v>0</v>
      </c>
      <c r="T67" s="1">
        <v>0</v>
      </c>
      <c r="U67" s="1">
        <v>200000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</row>
    <row r="68" spans="1:30" s="20" customFormat="1" ht="42.75" customHeight="1" x14ac:dyDescent="0.25">
      <c r="A68" s="2">
        <f t="shared" si="11"/>
        <v>56</v>
      </c>
      <c r="B68" s="6">
        <f>A68</f>
        <v>56</v>
      </c>
      <c r="C68" s="19" t="s">
        <v>1701</v>
      </c>
      <c r="D68" s="8">
        <f t="shared" si="12"/>
        <v>3700000</v>
      </c>
      <c r="E68" s="1">
        <f t="shared" si="13"/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2">
        <v>1</v>
      </c>
      <c r="M68" s="1">
        <f>L68*3500000</f>
        <v>3500000</v>
      </c>
      <c r="N68" s="1">
        <v>0</v>
      </c>
      <c r="O68" s="1">
        <v>0</v>
      </c>
      <c r="P68" s="1">
        <v>0</v>
      </c>
      <c r="Q68" s="1">
        <f>P68*1400</f>
        <v>0</v>
      </c>
      <c r="R68" s="1">
        <v>0</v>
      </c>
      <c r="S68" s="1">
        <f t="shared" si="14"/>
        <v>0</v>
      </c>
      <c r="T68" s="1">
        <v>0</v>
      </c>
      <c r="U68" s="1">
        <v>200000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</row>
    <row r="69" spans="1:30" s="20" customFormat="1" ht="36" customHeight="1" x14ac:dyDescent="0.25">
      <c r="A69" s="2">
        <f t="shared" si="11"/>
        <v>57</v>
      </c>
      <c r="B69" s="6">
        <f>A69</f>
        <v>57</v>
      </c>
      <c r="C69" s="19" t="s">
        <v>1773</v>
      </c>
      <c r="D69" s="4">
        <f t="shared" si="12"/>
        <v>2131272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2">
        <v>0</v>
      </c>
      <c r="M69" s="1">
        <v>0</v>
      </c>
      <c r="N69" s="1">
        <v>429</v>
      </c>
      <c r="O69" s="1">
        <f>N69*4968</f>
        <v>2131272</v>
      </c>
      <c r="P69" s="1">
        <v>0</v>
      </c>
      <c r="Q69" s="1">
        <f>P69*1400</f>
        <v>0</v>
      </c>
      <c r="R69" s="1">
        <v>0</v>
      </c>
      <c r="S69" s="1">
        <f t="shared" si="14"/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</row>
    <row r="70" spans="1:30" s="20" customFormat="1" ht="36" customHeight="1" x14ac:dyDescent="0.25">
      <c r="A70" s="2">
        <f t="shared" si="11"/>
        <v>58</v>
      </c>
      <c r="B70" s="3">
        <f t="shared" ref="B70" si="21">A70</f>
        <v>58</v>
      </c>
      <c r="C70" s="19" t="s">
        <v>2041</v>
      </c>
      <c r="D70" s="4">
        <f t="shared" si="12"/>
        <v>2235600</v>
      </c>
      <c r="E70" s="1">
        <f t="shared" ref="E70" si="22">SUM(F70:K70)</f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2">
        <v>0</v>
      </c>
      <c r="M70" s="1">
        <v>0</v>
      </c>
      <c r="N70" s="1">
        <v>450</v>
      </c>
      <c r="O70" s="1">
        <f>N70*4968</f>
        <v>2235600</v>
      </c>
      <c r="P70" s="1">
        <v>0</v>
      </c>
      <c r="Q70" s="1">
        <f t="shared" ref="Q70" si="23">P70*1400</f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</row>
    <row r="71" spans="1:30" s="20" customFormat="1" ht="36" customHeight="1" x14ac:dyDescent="0.25">
      <c r="A71" s="2">
        <f t="shared" si="11"/>
        <v>59</v>
      </c>
      <c r="B71" s="3">
        <f t="shared" ref="B71" si="24">A71</f>
        <v>59</v>
      </c>
      <c r="C71" s="19" t="s">
        <v>2045</v>
      </c>
      <c r="D71" s="4">
        <f t="shared" si="12"/>
        <v>1883256</v>
      </c>
      <c r="E71" s="1">
        <f t="shared" ref="E71" si="25">SUM(F71:K71)</f>
        <v>332856</v>
      </c>
      <c r="F71" s="1">
        <f>804*414</f>
        <v>332856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2">
        <v>0</v>
      </c>
      <c r="M71" s="1">
        <v>0</v>
      </c>
      <c r="N71" s="1">
        <v>0</v>
      </c>
      <c r="O71" s="1">
        <v>0</v>
      </c>
      <c r="P71" s="1">
        <v>0</v>
      </c>
      <c r="Q71" s="1">
        <f t="shared" ref="Q71" si="26">P71*1400</f>
        <v>0</v>
      </c>
      <c r="R71" s="1">
        <v>400</v>
      </c>
      <c r="S71" s="1">
        <f>R71*3751</f>
        <v>1500400</v>
      </c>
      <c r="T71" s="1">
        <v>0</v>
      </c>
      <c r="U71" s="1">
        <v>50000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</row>
    <row r="72" spans="1:30" s="20" customFormat="1" ht="54.95" customHeight="1" x14ac:dyDescent="0.25">
      <c r="A72" s="3"/>
      <c r="B72" s="47" t="s">
        <v>1969</v>
      </c>
      <c r="C72" s="48"/>
      <c r="D72" s="4">
        <f>SUM(D73:D74)</f>
        <v>14715731.1</v>
      </c>
      <c r="E72" s="4">
        <f t="shared" ref="E72:AD72" si="27">SUM(E73:E74)</f>
        <v>4365385.0000000009</v>
      </c>
      <c r="F72" s="4">
        <f t="shared" si="27"/>
        <v>894208.8</v>
      </c>
      <c r="G72" s="4">
        <f t="shared" si="27"/>
        <v>1882954.6</v>
      </c>
      <c r="H72" s="4">
        <f t="shared" si="27"/>
        <v>433758</v>
      </c>
      <c r="I72" s="4">
        <f t="shared" si="27"/>
        <v>635066.20000000007</v>
      </c>
      <c r="J72" s="4">
        <f t="shared" si="27"/>
        <v>519397.4</v>
      </c>
      <c r="K72" s="4">
        <f t="shared" si="27"/>
        <v>0</v>
      </c>
      <c r="L72" s="18">
        <f t="shared" si="27"/>
        <v>0</v>
      </c>
      <c r="M72" s="4">
        <f t="shared" si="27"/>
        <v>0</v>
      </c>
      <c r="N72" s="4">
        <f t="shared" si="27"/>
        <v>801</v>
      </c>
      <c r="O72" s="4">
        <f t="shared" si="27"/>
        <v>6207750</v>
      </c>
      <c r="P72" s="4">
        <f t="shared" si="27"/>
        <v>0</v>
      </c>
      <c r="Q72" s="4">
        <f t="shared" si="27"/>
        <v>0</v>
      </c>
      <c r="R72" s="4">
        <f t="shared" si="27"/>
        <v>971.1</v>
      </c>
      <c r="S72" s="4">
        <f t="shared" si="27"/>
        <v>3642596.1</v>
      </c>
      <c r="T72" s="4">
        <f t="shared" si="27"/>
        <v>300000</v>
      </c>
      <c r="U72" s="4">
        <f t="shared" si="27"/>
        <v>100000</v>
      </c>
      <c r="V72" s="4">
        <f t="shared" si="27"/>
        <v>0</v>
      </c>
      <c r="W72" s="4">
        <f t="shared" si="27"/>
        <v>100000</v>
      </c>
      <c r="X72" s="4">
        <f t="shared" si="27"/>
        <v>0</v>
      </c>
      <c r="Y72" s="4">
        <f t="shared" si="27"/>
        <v>0</v>
      </c>
      <c r="Z72" s="4">
        <f t="shared" si="27"/>
        <v>0</v>
      </c>
      <c r="AA72" s="4">
        <f t="shared" si="27"/>
        <v>0</v>
      </c>
      <c r="AB72" s="4">
        <f t="shared" si="27"/>
        <v>0</v>
      </c>
      <c r="AC72" s="4">
        <f t="shared" si="27"/>
        <v>0</v>
      </c>
      <c r="AD72" s="4">
        <f t="shared" si="27"/>
        <v>0</v>
      </c>
    </row>
    <row r="73" spans="1:30" s="21" customFormat="1" ht="35.1" customHeight="1" x14ac:dyDescent="0.25">
      <c r="A73" s="2">
        <f>ROW()-ROW($A$11)-2</f>
        <v>60</v>
      </c>
      <c r="B73" s="6">
        <f t="shared" si="15"/>
        <v>60</v>
      </c>
      <c r="C73" s="24" t="s">
        <v>1799</v>
      </c>
      <c r="D73" s="8">
        <f>E73+M73+O73+Q73+S73+T73+U73+V73+W73+X73+Z73+AA73+AB73+AC73+AD73</f>
        <v>7346676.0999999996</v>
      </c>
      <c r="E73" s="1">
        <f>SUM(F73:K73)</f>
        <v>2182692.5000000005</v>
      </c>
      <c r="F73" s="1">
        <f>804*556.1</f>
        <v>447104.4</v>
      </c>
      <c r="G73" s="1">
        <f>1693*556.1</f>
        <v>941477.3</v>
      </c>
      <c r="H73" s="1">
        <f>390*556.1</f>
        <v>216879</v>
      </c>
      <c r="I73" s="1">
        <f>571*556.1</f>
        <v>317533.10000000003</v>
      </c>
      <c r="J73" s="1">
        <f>467*556.1</f>
        <v>259698.7</v>
      </c>
      <c r="K73" s="1">
        <v>0</v>
      </c>
      <c r="L73" s="2">
        <v>0</v>
      </c>
      <c r="M73" s="1">
        <v>0</v>
      </c>
      <c r="N73" s="1">
        <v>400</v>
      </c>
      <c r="O73" s="1">
        <f>N73*7750</f>
        <v>3100000</v>
      </c>
      <c r="P73" s="1">
        <v>0</v>
      </c>
      <c r="Q73" s="1">
        <f>P73*1400</f>
        <v>0</v>
      </c>
      <c r="R73" s="1">
        <v>483.6</v>
      </c>
      <c r="S73" s="1">
        <f>R73*3751</f>
        <v>1813983.6</v>
      </c>
      <c r="T73" s="1">
        <v>150000</v>
      </c>
      <c r="U73" s="1">
        <v>50000</v>
      </c>
      <c r="V73" s="1">
        <v>0</v>
      </c>
      <c r="W73" s="1">
        <v>50000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</row>
    <row r="74" spans="1:30" s="21" customFormat="1" ht="35.1" customHeight="1" x14ac:dyDescent="0.25">
      <c r="A74" s="2">
        <f>ROW()-ROW($A$11)-2</f>
        <v>61</v>
      </c>
      <c r="B74" s="6">
        <f t="shared" si="15"/>
        <v>61</v>
      </c>
      <c r="C74" s="24" t="s">
        <v>1800</v>
      </c>
      <c r="D74" s="8">
        <f>E74+M74+O74+Q74+S74+T74+U74+V74+W74+X74+Z74+AA74+AB74+AC74+AD74</f>
        <v>7369055</v>
      </c>
      <c r="E74" s="1">
        <f>SUM(F74:K74)</f>
        <v>2182692.5000000005</v>
      </c>
      <c r="F74" s="1">
        <f>804*556.1</f>
        <v>447104.4</v>
      </c>
      <c r="G74" s="1">
        <f>1693*556.1</f>
        <v>941477.3</v>
      </c>
      <c r="H74" s="1">
        <f>390*556.1</f>
        <v>216879</v>
      </c>
      <c r="I74" s="1">
        <f>571*556.1</f>
        <v>317533.10000000003</v>
      </c>
      <c r="J74" s="1">
        <f>467*556.1</f>
        <v>259698.7</v>
      </c>
      <c r="K74" s="1">
        <v>0</v>
      </c>
      <c r="L74" s="2">
        <v>0</v>
      </c>
      <c r="M74" s="1">
        <v>0</v>
      </c>
      <c r="N74" s="1">
        <v>401</v>
      </c>
      <c r="O74" s="1">
        <f>N74*7750</f>
        <v>3107750</v>
      </c>
      <c r="P74" s="1">
        <v>0</v>
      </c>
      <c r="Q74" s="1">
        <f>P74*1400</f>
        <v>0</v>
      </c>
      <c r="R74" s="1">
        <v>487.5</v>
      </c>
      <c r="S74" s="1">
        <f>R74*3751</f>
        <v>1828612.5</v>
      </c>
      <c r="T74" s="1">
        <v>150000</v>
      </c>
      <c r="U74" s="1">
        <v>50000</v>
      </c>
      <c r="V74" s="1">
        <v>0</v>
      </c>
      <c r="W74" s="1">
        <v>50000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</row>
    <row r="75" spans="1:30" s="20" customFormat="1" ht="54.95" customHeight="1" x14ac:dyDescent="0.25">
      <c r="A75" s="3"/>
      <c r="B75" s="47" t="s">
        <v>1970</v>
      </c>
      <c r="C75" s="48"/>
      <c r="D75" s="4">
        <f>SUM(D76:D80)</f>
        <v>18881682.299999997</v>
      </c>
      <c r="E75" s="4">
        <f t="shared" ref="E75:AD75" si="28">SUM(E76:E80)</f>
        <v>3488107.8</v>
      </c>
      <c r="F75" s="4">
        <f t="shared" si="28"/>
        <v>1483653.3599999999</v>
      </c>
      <c r="G75" s="4">
        <f t="shared" si="28"/>
        <v>0</v>
      </c>
      <c r="H75" s="4">
        <f t="shared" si="28"/>
        <v>912178.79999999993</v>
      </c>
      <c r="I75" s="4">
        <f t="shared" si="28"/>
        <v>0</v>
      </c>
      <c r="J75" s="4">
        <f t="shared" si="28"/>
        <v>1092275.6399999999</v>
      </c>
      <c r="K75" s="4">
        <f t="shared" si="28"/>
        <v>0</v>
      </c>
      <c r="L75" s="17">
        <f t="shared" si="28"/>
        <v>0</v>
      </c>
      <c r="M75" s="4">
        <f t="shared" si="28"/>
        <v>0</v>
      </c>
      <c r="N75" s="4">
        <f t="shared" si="28"/>
        <v>1682.9699999999998</v>
      </c>
      <c r="O75" s="4">
        <f t="shared" si="28"/>
        <v>12041497.5</v>
      </c>
      <c r="P75" s="4">
        <f t="shared" si="28"/>
        <v>0</v>
      </c>
      <c r="Q75" s="4">
        <f t="shared" si="28"/>
        <v>0</v>
      </c>
      <c r="R75" s="4">
        <f t="shared" si="28"/>
        <v>827</v>
      </c>
      <c r="S75" s="4">
        <f t="shared" si="28"/>
        <v>3102077</v>
      </c>
      <c r="T75" s="4">
        <f t="shared" si="28"/>
        <v>0</v>
      </c>
      <c r="U75" s="4">
        <f t="shared" si="28"/>
        <v>150000</v>
      </c>
      <c r="V75" s="4">
        <f t="shared" si="28"/>
        <v>0</v>
      </c>
      <c r="W75" s="4">
        <f t="shared" si="28"/>
        <v>100000</v>
      </c>
      <c r="X75" s="4">
        <f t="shared" si="28"/>
        <v>0</v>
      </c>
      <c r="Y75" s="4">
        <f t="shared" si="28"/>
        <v>0</v>
      </c>
      <c r="Z75" s="4">
        <f t="shared" si="28"/>
        <v>0</v>
      </c>
      <c r="AA75" s="4">
        <f t="shared" si="28"/>
        <v>0</v>
      </c>
      <c r="AB75" s="4">
        <f t="shared" si="28"/>
        <v>0</v>
      </c>
      <c r="AC75" s="4">
        <f t="shared" si="28"/>
        <v>0</v>
      </c>
      <c r="AD75" s="4">
        <f t="shared" si="28"/>
        <v>0</v>
      </c>
    </row>
    <row r="76" spans="1:30" s="21" customFormat="1" ht="35.1" customHeight="1" x14ac:dyDescent="0.25">
      <c r="A76" s="2">
        <f>ROW()-ROW($A$11)-3</f>
        <v>62</v>
      </c>
      <c r="B76" s="6">
        <f t="shared" si="15"/>
        <v>62</v>
      </c>
      <c r="C76" s="19" t="s">
        <v>62</v>
      </c>
      <c r="D76" s="8">
        <f>E76+M76+O76+Q76+S76+T76+U76+V76+W76+X76+Z76+AA76+AB76+AC76+AD76</f>
        <v>472998.05999999994</v>
      </c>
      <c r="E76" s="1">
        <f>SUM(F76:K76)</f>
        <v>422998.05999999994</v>
      </c>
      <c r="F76" s="1">
        <v>0</v>
      </c>
      <c r="G76" s="1">
        <v>0</v>
      </c>
      <c r="H76" s="1">
        <f>390*493.58</f>
        <v>192496.19999999998</v>
      </c>
      <c r="I76" s="1">
        <v>0</v>
      </c>
      <c r="J76" s="1">
        <f>467*493.58</f>
        <v>230501.86</v>
      </c>
      <c r="K76" s="1">
        <v>0</v>
      </c>
      <c r="L76" s="2">
        <v>0</v>
      </c>
      <c r="M76" s="1">
        <v>0</v>
      </c>
      <c r="N76" s="1">
        <v>0</v>
      </c>
      <c r="O76" s="1">
        <v>0</v>
      </c>
      <c r="P76" s="1">
        <v>0</v>
      </c>
      <c r="Q76" s="1">
        <f>P76*1400</f>
        <v>0</v>
      </c>
      <c r="R76" s="1">
        <v>0</v>
      </c>
      <c r="S76" s="1">
        <v>0</v>
      </c>
      <c r="T76" s="1">
        <v>0</v>
      </c>
      <c r="U76" s="1">
        <v>50000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</row>
    <row r="77" spans="1:30" s="21" customFormat="1" ht="35.1" customHeight="1" x14ac:dyDescent="0.25">
      <c r="A77" s="2">
        <f>ROW()-ROW($A$11)-3</f>
        <v>63</v>
      </c>
      <c r="B77" s="6">
        <f t="shared" si="15"/>
        <v>63</v>
      </c>
      <c r="C77" s="19" t="s">
        <v>63</v>
      </c>
      <c r="D77" s="8">
        <f>E77+M77+O77+Q77+S77+T77+U77+V77+W77+X77+Z77+AA77+AB77+AC77+AD77</f>
        <v>5690596</v>
      </c>
      <c r="E77" s="1">
        <f>SUM(F77:K77)</f>
        <v>1252394</v>
      </c>
      <c r="F77" s="1">
        <f>804*754</f>
        <v>606216</v>
      </c>
      <c r="G77" s="1">
        <v>0</v>
      </c>
      <c r="H77" s="1">
        <f>390*754</f>
        <v>294060</v>
      </c>
      <c r="I77" s="1">
        <v>0</v>
      </c>
      <c r="J77" s="1">
        <f>467*754</f>
        <v>352118</v>
      </c>
      <c r="K77" s="1">
        <v>0</v>
      </c>
      <c r="L77" s="2">
        <v>0</v>
      </c>
      <c r="M77" s="1">
        <v>0</v>
      </c>
      <c r="N77" s="1">
        <v>377.3</v>
      </c>
      <c r="O77" s="1">
        <f>N77*7750</f>
        <v>2924075</v>
      </c>
      <c r="P77" s="1">
        <v>0</v>
      </c>
      <c r="Q77" s="1">
        <f>P77*1400</f>
        <v>0</v>
      </c>
      <c r="R77" s="1">
        <v>377</v>
      </c>
      <c r="S77" s="1">
        <f>R77*3751</f>
        <v>1414127</v>
      </c>
      <c r="T77" s="1">
        <v>0</v>
      </c>
      <c r="U77" s="1">
        <v>50000</v>
      </c>
      <c r="V77" s="1">
        <v>0</v>
      </c>
      <c r="W77" s="1">
        <v>50000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</row>
    <row r="78" spans="1:30" s="20" customFormat="1" ht="36" customHeight="1" x14ac:dyDescent="0.25">
      <c r="A78" s="2">
        <f>ROW()-ROW($A$11)-3</f>
        <v>64</v>
      </c>
      <c r="B78" s="3">
        <f t="shared" si="15"/>
        <v>64</v>
      </c>
      <c r="C78" s="19" t="s">
        <v>2049</v>
      </c>
      <c r="D78" s="4">
        <f>E78+M78+O78+Q78+S78+T78+U78+V78+W78+X78+Z78+AA78+AB78+AC78+AD78</f>
        <v>3100000</v>
      </c>
      <c r="E78" s="1">
        <f>SUM(F78:K78)</f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2">
        <v>0</v>
      </c>
      <c r="M78" s="1">
        <v>0</v>
      </c>
      <c r="N78" s="1">
        <v>400</v>
      </c>
      <c r="O78" s="1">
        <f>N78*7750</f>
        <v>3100000</v>
      </c>
      <c r="P78" s="1">
        <v>0</v>
      </c>
      <c r="Q78" s="1">
        <f>P78*1400</f>
        <v>0</v>
      </c>
      <c r="R78" s="1">
        <v>0</v>
      </c>
      <c r="S78" s="1">
        <f>R78*3751</f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</row>
    <row r="79" spans="1:30" s="21" customFormat="1" ht="35.1" customHeight="1" x14ac:dyDescent="0.25">
      <c r="A79" s="2">
        <f>ROW()-ROW($A$11)-3</f>
        <v>65</v>
      </c>
      <c r="B79" s="6">
        <f t="shared" si="15"/>
        <v>65</v>
      </c>
      <c r="C79" s="19" t="s">
        <v>65</v>
      </c>
      <c r="D79" s="8">
        <f>E79+M79+O79+Q79+S79+T79+U79+V79+W79+X79+Z79+AA79+AB79+AC79+AD79</f>
        <v>7829608.2400000002</v>
      </c>
      <c r="E79" s="1">
        <f>SUM(F79:K79)</f>
        <v>1812715.74</v>
      </c>
      <c r="F79" s="1">
        <f>804*1091.34</f>
        <v>877437.36</v>
      </c>
      <c r="G79" s="1">
        <v>0</v>
      </c>
      <c r="H79" s="1">
        <f>390*1091.34</f>
        <v>425622.6</v>
      </c>
      <c r="I79" s="1">
        <v>0</v>
      </c>
      <c r="J79" s="1">
        <f>467*1091.34</f>
        <v>509655.77999999997</v>
      </c>
      <c r="K79" s="1">
        <v>0</v>
      </c>
      <c r="L79" s="2">
        <v>0</v>
      </c>
      <c r="M79" s="1">
        <v>0</v>
      </c>
      <c r="N79" s="1">
        <v>545.66999999999996</v>
      </c>
      <c r="O79" s="1">
        <f>N79*7750</f>
        <v>4228942.5</v>
      </c>
      <c r="P79" s="1">
        <v>0</v>
      </c>
      <c r="Q79" s="1">
        <f>P79*1400</f>
        <v>0</v>
      </c>
      <c r="R79" s="1">
        <v>450</v>
      </c>
      <c r="S79" s="1">
        <f>R79*3751</f>
        <v>1687950</v>
      </c>
      <c r="T79" s="1">
        <v>0</v>
      </c>
      <c r="U79" s="1">
        <v>50000</v>
      </c>
      <c r="V79" s="1">
        <v>0</v>
      </c>
      <c r="W79" s="1">
        <v>50000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</row>
    <row r="80" spans="1:30" s="20" customFormat="1" ht="36" customHeight="1" x14ac:dyDescent="0.25">
      <c r="A80" s="2">
        <f>ROW()-ROW($A$11)-3</f>
        <v>66</v>
      </c>
      <c r="B80" s="3">
        <f t="shared" ref="B80" si="29">A80</f>
        <v>66</v>
      </c>
      <c r="C80" s="19" t="s">
        <v>2050</v>
      </c>
      <c r="D80" s="4">
        <f>E80+M80+O80+Q80+S80+T80+U80+V80+W80+X80+Z80+AA80+AB80+AC80+AD80</f>
        <v>1788480</v>
      </c>
      <c r="E80" s="1">
        <f>SUM(F80:K80)</f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2">
        <v>0</v>
      </c>
      <c r="M80" s="1">
        <v>0</v>
      </c>
      <c r="N80" s="1">
        <v>360</v>
      </c>
      <c r="O80" s="1">
        <f>N80*4968</f>
        <v>1788480</v>
      </c>
      <c r="P80" s="1">
        <v>0</v>
      </c>
      <c r="Q80" s="1">
        <f>P80*1400</f>
        <v>0</v>
      </c>
      <c r="R80" s="1">
        <v>0</v>
      </c>
      <c r="S80" s="1">
        <f>R80*3751</f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</row>
    <row r="81" spans="1:30" s="20" customFormat="1" ht="54.95" customHeight="1" x14ac:dyDescent="0.25">
      <c r="A81" s="3"/>
      <c r="B81" s="47" t="s">
        <v>1994</v>
      </c>
      <c r="C81" s="48"/>
      <c r="D81" s="4">
        <f>SUM(D82:D83)</f>
        <v>65166817.500000007</v>
      </c>
      <c r="E81" s="4">
        <f t="shared" ref="E81:AC81" si="30">SUM(E82:E83)</f>
        <v>64766817.500000007</v>
      </c>
      <c r="F81" s="4">
        <f t="shared" si="30"/>
        <v>13266884.4</v>
      </c>
      <c r="G81" s="4">
        <f t="shared" si="30"/>
        <v>27936362.300000001</v>
      </c>
      <c r="H81" s="4">
        <f t="shared" si="30"/>
        <v>6435429</v>
      </c>
      <c r="I81" s="4">
        <f t="shared" si="30"/>
        <v>9422128.0999999996</v>
      </c>
      <c r="J81" s="4">
        <f t="shared" si="30"/>
        <v>7706013.7000000002</v>
      </c>
      <c r="K81" s="4">
        <f t="shared" si="30"/>
        <v>0</v>
      </c>
      <c r="L81" s="17">
        <f t="shared" si="30"/>
        <v>0</v>
      </c>
      <c r="M81" s="4">
        <f t="shared" si="30"/>
        <v>0</v>
      </c>
      <c r="N81" s="4">
        <f t="shared" si="30"/>
        <v>0</v>
      </c>
      <c r="O81" s="4">
        <f t="shared" si="30"/>
        <v>0</v>
      </c>
      <c r="P81" s="4">
        <f t="shared" si="30"/>
        <v>0</v>
      </c>
      <c r="Q81" s="4">
        <f t="shared" si="30"/>
        <v>0</v>
      </c>
      <c r="R81" s="4">
        <f t="shared" si="30"/>
        <v>0</v>
      </c>
      <c r="S81" s="4">
        <f t="shared" si="30"/>
        <v>0</v>
      </c>
      <c r="T81" s="4">
        <f t="shared" si="30"/>
        <v>0</v>
      </c>
      <c r="U81" s="4">
        <f t="shared" si="30"/>
        <v>400000</v>
      </c>
      <c r="V81" s="4">
        <f t="shared" si="30"/>
        <v>0</v>
      </c>
      <c r="W81" s="4">
        <f t="shared" si="30"/>
        <v>0</v>
      </c>
      <c r="X81" s="4">
        <f t="shared" si="30"/>
        <v>0</v>
      </c>
      <c r="Y81" s="4">
        <f t="shared" si="30"/>
        <v>0</v>
      </c>
      <c r="Z81" s="4">
        <f t="shared" si="30"/>
        <v>0</v>
      </c>
      <c r="AA81" s="4">
        <f t="shared" si="30"/>
        <v>0</v>
      </c>
      <c r="AB81" s="4">
        <f t="shared" si="30"/>
        <v>0</v>
      </c>
      <c r="AC81" s="4">
        <f t="shared" si="30"/>
        <v>0</v>
      </c>
      <c r="AD81" s="4">
        <f>SUM(AD82:AD83)</f>
        <v>0</v>
      </c>
    </row>
    <row r="82" spans="1:30" s="20" customFormat="1" ht="36" customHeight="1" x14ac:dyDescent="0.25">
      <c r="A82" s="2">
        <f>ROW()-ROW($A$11)-4</f>
        <v>67</v>
      </c>
      <c r="B82" s="3">
        <f t="shared" ref="B82" si="31">A82</f>
        <v>67</v>
      </c>
      <c r="C82" s="19" t="s">
        <v>2052</v>
      </c>
      <c r="D82" s="4">
        <f>E82+M82+O82+Q82+S82+T82+U82+V82+W82+X82+Z82+AA82+AB82+AC82+AD82</f>
        <v>18592157.5</v>
      </c>
      <c r="E82" s="1">
        <f>SUM(F82:K82)</f>
        <v>18392157.5</v>
      </c>
      <c r="F82" s="1">
        <f>804*4685.9</f>
        <v>3767463.5999999996</v>
      </c>
      <c r="G82" s="1">
        <f>1693*4685.9</f>
        <v>7933228.6999999993</v>
      </c>
      <c r="H82" s="1">
        <f>390*4685.9</f>
        <v>1827500.9999999998</v>
      </c>
      <c r="I82" s="1">
        <f>571*4685.9</f>
        <v>2675648.9</v>
      </c>
      <c r="J82" s="1">
        <f>467*4685.9</f>
        <v>2188315.2999999998</v>
      </c>
      <c r="K82" s="1">
        <v>0</v>
      </c>
      <c r="L82" s="2">
        <v>0</v>
      </c>
      <c r="M82" s="1">
        <v>0</v>
      </c>
      <c r="N82" s="1">
        <v>0</v>
      </c>
      <c r="O82" s="1">
        <v>0</v>
      </c>
      <c r="P82" s="1">
        <v>0</v>
      </c>
      <c r="Q82" s="1">
        <f>P82*1400</f>
        <v>0</v>
      </c>
      <c r="R82" s="1">
        <v>0</v>
      </c>
      <c r="S82" s="1">
        <f>R82*3751</f>
        <v>0</v>
      </c>
      <c r="T82" s="1">
        <v>0</v>
      </c>
      <c r="U82" s="1">
        <v>200000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</row>
    <row r="83" spans="1:30" s="20" customFormat="1" ht="36" customHeight="1" x14ac:dyDescent="0.25">
      <c r="A83" s="2">
        <f>ROW()-ROW($A$11)-4</f>
        <v>68</v>
      </c>
      <c r="B83" s="3">
        <f t="shared" ref="B83" si="32">A83</f>
        <v>68</v>
      </c>
      <c r="C83" s="19" t="s">
        <v>2051</v>
      </c>
      <c r="D83" s="4">
        <f>E83+M83+O83+Q83+S83+T83+U83+V83+W83+X83+Z83+AA83+AB83+AC83+AD83</f>
        <v>46574660.000000007</v>
      </c>
      <c r="E83" s="1">
        <f>SUM(F83:K83)</f>
        <v>46374660.000000007</v>
      </c>
      <c r="F83" s="1">
        <f>804*11815.2</f>
        <v>9499420.8000000007</v>
      </c>
      <c r="G83" s="1">
        <f>1693*11815.2</f>
        <v>20003133.600000001</v>
      </c>
      <c r="H83" s="1">
        <f>390*11815.2</f>
        <v>4607928</v>
      </c>
      <c r="I83" s="1">
        <f>571*11815.2</f>
        <v>6746479.2000000002</v>
      </c>
      <c r="J83" s="1">
        <f>467*11815.2</f>
        <v>5517698.4000000004</v>
      </c>
      <c r="K83" s="1">
        <v>0</v>
      </c>
      <c r="L83" s="2">
        <v>0</v>
      </c>
      <c r="M83" s="1">
        <f>L83*3500000</f>
        <v>0</v>
      </c>
      <c r="N83" s="1">
        <v>0</v>
      </c>
      <c r="O83" s="1">
        <v>0</v>
      </c>
      <c r="P83" s="1">
        <v>0</v>
      </c>
      <c r="Q83" s="1">
        <f>P83*1400</f>
        <v>0</v>
      </c>
      <c r="R83" s="1">
        <v>0</v>
      </c>
      <c r="S83" s="1">
        <f>R83*3751</f>
        <v>0</v>
      </c>
      <c r="T83" s="1">
        <v>0</v>
      </c>
      <c r="U83" s="1">
        <v>200000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</row>
    <row r="84" spans="1:30" s="20" customFormat="1" ht="54.95" customHeight="1" x14ac:dyDescent="0.25">
      <c r="A84" s="3"/>
      <c r="B84" s="47" t="s">
        <v>1971</v>
      </c>
      <c r="C84" s="48"/>
      <c r="D84" s="4">
        <f>SUM(D85:D125)</f>
        <v>321328915.40000004</v>
      </c>
      <c r="E84" s="4">
        <f t="shared" ref="E84:AC84" si="33">SUM(E85:E125)</f>
        <v>113260052.7</v>
      </c>
      <c r="F84" s="4">
        <f t="shared" si="33"/>
        <v>26521789.199999996</v>
      </c>
      <c r="G84" s="4">
        <f t="shared" si="33"/>
        <v>50461557.999999993</v>
      </c>
      <c r="H84" s="4">
        <f t="shared" si="33"/>
        <v>10280946</v>
      </c>
      <c r="I84" s="4">
        <f t="shared" si="33"/>
        <v>13684985.700000001</v>
      </c>
      <c r="J84" s="4">
        <f t="shared" si="33"/>
        <v>12310773.799999999</v>
      </c>
      <c r="K84" s="4">
        <f t="shared" si="33"/>
        <v>0</v>
      </c>
      <c r="L84" s="17">
        <f t="shared" si="33"/>
        <v>0</v>
      </c>
      <c r="M84" s="4">
        <f t="shared" si="33"/>
        <v>0</v>
      </c>
      <c r="N84" s="4">
        <f t="shared" si="33"/>
        <v>14949.759999999998</v>
      </c>
      <c r="O84" s="4">
        <f t="shared" si="33"/>
        <v>102023250.2</v>
      </c>
      <c r="P84" s="4">
        <f t="shared" si="33"/>
        <v>100</v>
      </c>
      <c r="Q84" s="4">
        <f t="shared" si="33"/>
        <v>140000</v>
      </c>
      <c r="R84" s="4">
        <f t="shared" si="33"/>
        <v>27487.5</v>
      </c>
      <c r="S84" s="4">
        <f t="shared" si="33"/>
        <v>103105612.49999999</v>
      </c>
      <c r="T84" s="4">
        <f t="shared" si="33"/>
        <v>0</v>
      </c>
      <c r="U84" s="4">
        <f t="shared" si="33"/>
        <v>1500000</v>
      </c>
      <c r="V84" s="4">
        <f t="shared" si="33"/>
        <v>0</v>
      </c>
      <c r="W84" s="4">
        <f t="shared" si="33"/>
        <v>1300000</v>
      </c>
      <c r="X84" s="4">
        <f t="shared" si="33"/>
        <v>0</v>
      </c>
      <c r="Y84" s="4">
        <f t="shared" si="33"/>
        <v>0</v>
      </c>
      <c r="Z84" s="4">
        <f t="shared" si="33"/>
        <v>0</v>
      </c>
      <c r="AA84" s="4">
        <f t="shared" si="33"/>
        <v>0</v>
      </c>
      <c r="AB84" s="4">
        <f t="shared" si="33"/>
        <v>0</v>
      </c>
      <c r="AC84" s="4">
        <f t="shared" si="33"/>
        <v>0</v>
      </c>
      <c r="AD84" s="4">
        <f>SUM(AD85:AD125)</f>
        <v>0</v>
      </c>
    </row>
    <row r="85" spans="1:30" s="21" customFormat="1" ht="35.1" customHeight="1" x14ac:dyDescent="0.25">
      <c r="A85" s="2">
        <f>ROW()-ROW($A$11)-5</f>
        <v>69</v>
      </c>
      <c r="B85" s="6">
        <f>A85</f>
        <v>69</v>
      </c>
      <c r="C85" s="19" t="s">
        <v>1687</v>
      </c>
      <c r="D85" s="8">
        <f t="shared" ref="D85:D125" si="34">E85+M85+O85+Q85+S85+T85+U85+V85+W85+X85+Z85+AA85+AB85+AC85+AD85</f>
        <v>2976155.1</v>
      </c>
      <c r="E85" s="1">
        <f>SUM(F85:K85)</f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2">
        <v>0</v>
      </c>
      <c r="M85" s="1">
        <v>0</v>
      </c>
      <c r="N85" s="1">
        <v>0</v>
      </c>
      <c r="O85" s="1">
        <f>N85*7750</f>
        <v>0</v>
      </c>
      <c r="P85" s="1">
        <v>0</v>
      </c>
      <c r="Q85" s="1">
        <f>P85*1400</f>
        <v>0</v>
      </c>
      <c r="R85" s="1">
        <v>780.1</v>
      </c>
      <c r="S85" s="1">
        <f>R85*3751</f>
        <v>2926155.1</v>
      </c>
      <c r="T85" s="1">
        <v>0</v>
      </c>
      <c r="U85" s="1">
        <v>0</v>
      </c>
      <c r="V85" s="1">
        <v>0</v>
      </c>
      <c r="W85" s="1">
        <v>50000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</row>
    <row r="86" spans="1:30" s="21" customFormat="1" ht="34.5" customHeight="1" x14ac:dyDescent="0.25">
      <c r="A86" s="2">
        <f t="shared" ref="A86:A125" si="35">ROW()-ROW($A$11)-5</f>
        <v>70</v>
      </c>
      <c r="B86" s="6">
        <f t="shared" ref="B86" si="36">A86</f>
        <v>70</v>
      </c>
      <c r="C86" s="19" t="s">
        <v>2053</v>
      </c>
      <c r="D86" s="8">
        <f t="shared" si="34"/>
        <v>2980800</v>
      </c>
      <c r="E86" s="1">
        <f>SUM(F86:K86)</f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2">
        <v>0</v>
      </c>
      <c r="M86" s="1">
        <v>0</v>
      </c>
      <c r="N86" s="1">
        <v>600</v>
      </c>
      <c r="O86" s="1">
        <f>N86*4968</f>
        <v>2980800</v>
      </c>
      <c r="P86" s="1">
        <v>0</v>
      </c>
      <c r="Q86" s="1">
        <f>P86*1400</f>
        <v>0</v>
      </c>
      <c r="R86" s="1">
        <v>0</v>
      </c>
      <c r="S86" s="1">
        <f>R86*3751</f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</row>
    <row r="87" spans="1:30" s="21" customFormat="1" ht="34.5" customHeight="1" x14ac:dyDescent="0.25">
      <c r="A87" s="2">
        <f t="shared" si="35"/>
        <v>71</v>
      </c>
      <c r="B87" s="6">
        <f t="shared" si="15"/>
        <v>71</v>
      </c>
      <c r="C87" s="19" t="s">
        <v>66</v>
      </c>
      <c r="D87" s="8">
        <f t="shared" si="34"/>
        <v>10041322.6</v>
      </c>
      <c r="E87" s="1">
        <f>SUM(F87:K87)</f>
        <v>3061892.5000000005</v>
      </c>
      <c r="F87" s="1">
        <f>804*780.1</f>
        <v>627200.4</v>
      </c>
      <c r="G87" s="1">
        <f>1693*780.1</f>
        <v>1320709.3</v>
      </c>
      <c r="H87" s="1">
        <f>390*780.1</f>
        <v>304239</v>
      </c>
      <c r="I87" s="1">
        <f>571*780.1</f>
        <v>445437.10000000003</v>
      </c>
      <c r="J87" s="1">
        <f>467*780.1</f>
        <v>364306.7</v>
      </c>
      <c r="K87" s="1">
        <v>0</v>
      </c>
      <c r="L87" s="2">
        <v>0</v>
      </c>
      <c r="M87" s="1">
        <v>0</v>
      </c>
      <c r="N87" s="1">
        <v>510.1</v>
      </c>
      <c r="O87" s="1">
        <f>N87*7750</f>
        <v>3953275</v>
      </c>
      <c r="P87" s="1">
        <v>0</v>
      </c>
      <c r="Q87" s="1">
        <f>P87*1400</f>
        <v>0</v>
      </c>
      <c r="R87" s="1">
        <v>780.1</v>
      </c>
      <c r="S87" s="1">
        <f>R87*3751</f>
        <v>2926155.1</v>
      </c>
      <c r="T87" s="1">
        <v>0</v>
      </c>
      <c r="U87" s="1">
        <v>50000</v>
      </c>
      <c r="V87" s="1">
        <v>0</v>
      </c>
      <c r="W87" s="1">
        <v>50000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</row>
    <row r="88" spans="1:30" s="21" customFormat="1" ht="35.1" customHeight="1" x14ac:dyDescent="0.25">
      <c r="A88" s="2">
        <f t="shared" si="35"/>
        <v>72</v>
      </c>
      <c r="B88" s="6">
        <f t="shared" si="15"/>
        <v>72</v>
      </c>
      <c r="C88" s="19" t="s">
        <v>67</v>
      </c>
      <c r="D88" s="8">
        <f t="shared" si="34"/>
        <v>6005628</v>
      </c>
      <c r="E88" s="1">
        <f t="shared" ref="E88:E125" si="37">SUM(F88:K88)</f>
        <v>1440543</v>
      </c>
      <c r="F88" s="1">
        <f>804*429.5</f>
        <v>345318</v>
      </c>
      <c r="G88" s="1">
        <f>1693*429.5</f>
        <v>727143.5</v>
      </c>
      <c r="H88" s="1">
        <f>390*429.5</f>
        <v>167505</v>
      </c>
      <c r="I88" s="1">
        <v>0</v>
      </c>
      <c r="J88" s="1">
        <f>467*429.5</f>
        <v>200576.5</v>
      </c>
      <c r="K88" s="1">
        <v>0</v>
      </c>
      <c r="L88" s="2">
        <v>0</v>
      </c>
      <c r="M88" s="1">
        <v>0</v>
      </c>
      <c r="N88" s="1">
        <v>305.10000000000002</v>
      </c>
      <c r="O88" s="1">
        <f>N88*7750</f>
        <v>2364525</v>
      </c>
      <c r="P88" s="1">
        <v>0</v>
      </c>
      <c r="Q88" s="1">
        <f>P88*1400</f>
        <v>0</v>
      </c>
      <c r="R88" s="1">
        <v>560</v>
      </c>
      <c r="S88" s="1">
        <f>R88*3751</f>
        <v>2100560</v>
      </c>
      <c r="T88" s="1">
        <v>0</v>
      </c>
      <c r="U88" s="1">
        <v>50000</v>
      </c>
      <c r="V88" s="1">
        <v>0</v>
      </c>
      <c r="W88" s="1">
        <v>50000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</row>
    <row r="89" spans="1:30" s="21" customFormat="1" ht="35.1" customHeight="1" x14ac:dyDescent="0.25">
      <c r="A89" s="2">
        <f t="shared" si="35"/>
        <v>73</v>
      </c>
      <c r="B89" s="6">
        <f t="shared" si="15"/>
        <v>73</v>
      </c>
      <c r="C89" s="19" t="s">
        <v>68</v>
      </c>
      <c r="D89" s="8">
        <f t="shared" si="34"/>
        <v>2958525.4</v>
      </c>
      <c r="E89" s="1">
        <f t="shared" si="37"/>
        <v>0</v>
      </c>
      <c r="F89" s="7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2">
        <v>0</v>
      </c>
      <c r="M89" s="1">
        <v>0</v>
      </c>
      <c r="N89" s="1">
        <v>0</v>
      </c>
      <c r="O89" s="1">
        <v>0</v>
      </c>
      <c r="P89" s="1">
        <v>0</v>
      </c>
      <c r="Q89" s="1">
        <f>P89*1400</f>
        <v>0</v>
      </c>
      <c r="R89" s="1">
        <v>775.4</v>
      </c>
      <c r="S89" s="1">
        <f>R89*3751</f>
        <v>2908525.4</v>
      </c>
      <c r="T89" s="1">
        <v>0</v>
      </c>
      <c r="U89" s="1">
        <v>0</v>
      </c>
      <c r="V89" s="1">
        <v>0</v>
      </c>
      <c r="W89" s="1">
        <v>50000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</row>
    <row r="90" spans="1:30" s="21" customFormat="1" ht="35.1" customHeight="1" x14ac:dyDescent="0.25">
      <c r="A90" s="2">
        <f t="shared" si="35"/>
        <v>74</v>
      </c>
      <c r="B90" s="6">
        <f t="shared" si="15"/>
        <v>74</v>
      </c>
      <c r="C90" s="19" t="s">
        <v>69</v>
      </c>
      <c r="D90" s="8">
        <f t="shared" si="34"/>
        <v>10963368.800000001</v>
      </c>
      <c r="E90" s="1">
        <f t="shared" si="37"/>
        <v>3944974.8000000003</v>
      </c>
      <c r="F90" s="1">
        <f>804*1176.2</f>
        <v>945664.8</v>
      </c>
      <c r="G90" s="1">
        <f>1693*1176.2</f>
        <v>1991306.6</v>
      </c>
      <c r="H90" s="1">
        <f>390*1176.2</f>
        <v>458718</v>
      </c>
      <c r="I90" s="1">
        <v>0</v>
      </c>
      <c r="J90" s="1">
        <f>467*1176.2</f>
        <v>549285.4</v>
      </c>
      <c r="K90" s="1">
        <v>0</v>
      </c>
      <c r="L90" s="2">
        <v>0</v>
      </c>
      <c r="M90" s="1">
        <v>0</v>
      </c>
      <c r="N90" s="1">
        <v>520.5</v>
      </c>
      <c r="O90" s="1">
        <f t="shared" ref="O90:O101" si="38">N90*7750</f>
        <v>4033875</v>
      </c>
      <c r="P90" s="1">
        <v>0</v>
      </c>
      <c r="Q90" s="1">
        <f t="shared" ref="Q90:Q125" si="39">P90*1400</f>
        <v>0</v>
      </c>
      <c r="R90" s="1">
        <v>769</v>
      </c>
      <c r="S90" s="1">
        <f t="shared" ref="S90:S125" si="40">R90*3751</f>
        <v>2884519</v>
      </c>
      <c r="T90" s="1">
        <v>0</v>
      </c>
      <c r="U90" s="1">
        <v>50000</v>
      </c>
      <c r="V90" s="1">
        <v>0</v>
      </c>
      <c r="W90" s="1">
        <v>50000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</row>
    <row r="91" spans="1:30" s="21" customFormat="1" ht="35.1" customHeight="1" x14ac:dyDescent="0.25">
      <c r="A91" s="2">
        <f t="shared" si="35"/>
        <v>75</v>
      </c>
      <c r="B91" s="6">
        <f t="shared" si="15"/>
        <v>75</v>
      </c>
      <c r="C91" s="19" t="s">
        <v>70</v>
      </c>
      <c r="D91" s="8">
        <f t="shared" si="34"/>
        <v>7376109.1000000006</v>
      </c>
      <c r="E91" s="1">
        <f t="shared" si="37"/>
        <v>362684.4</v>
      </c>
      <c r="F91" s="1">
        <f>804*451.1</f>
        <v>362684.4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2">
        <v>0</v>
      </c>
      <c r="M91" s="1">
        <v>0</v>
      </c>
      <c r="N91" s="1">
        <v>650.20000000000005</v>
      </c>
      <c r="O91" s="1">
        <f t="shared" si="38"/>
        <v>5039050</v>
      </c>
      <c r="P91" s="1">
        <v>0</v>
      </c>
      <c r="Q91" s="1">
        <f t="shared" si="39"/>
        <v>0</v>
      </c>
      <c r="R91" s="1">
        <v>499.7</v>
      </c>
      <c r="S91" s="1">
        <f t="shared" si="40"/>
        <v>1874374.7</v>
      </c>
      <c r="T91" s="1">
        <v>0</v>
      </c>
      <c r="U91" s="1">
        <v>50000</v>
      </c>
      <c r="V91" s="1">
        <v>0</v>
      </c>
      <c r="W91" s="1">
        <v>50000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</row>
    <row r="92" spans="1:30" s="21" customFormat="1" ht="35.1" customHeight="1" x14ac:dyDescent="0.25">
      <c r="A92" s="2">
        <f t="shared" si="35"/>
        <v>76</v>
      </c>
      <c r="B92" s="6">
        <f t="shared" si="15"/>
        <v>76</v>
      </c>
      <c r="C92" s="19" t="s">
        <v>71</v>
      </c>
      <c r="D92" s="8">
        <f t="shared" si="34"/>
        <v>7654773.1999999993</v>
      </c>
      <c r="E92" s="1">
        <f t="shared" si="37"/>
        <v>1406809.7999999998</v>
      </c>
      <c r="F92" s="1">
        <f>804*563.4</f>
        <v>452973.6</v>
      </c>
      <c r="G92" s="1">
        <f>1693*563.4</f>
        <v>953836.2</v>
      </c>
      <c r="H92" s="1">
        <v>0</v>
      </c>
      <c r="I92" s="1">
        <v>0</v>
      </c>
      <c r="J92" s="1">
        <v>0</v>
      </c>
      <c r="K92" s="1">
        <v>0</v>
      </c>
      <c r="L92" s="2">
        <v>0</v>
      </c>
      <c r="M92" s="1">
        <v>0</v>
      </c>
      <c r="N92" s="25">
        <v>520.6</v>
      </c>
      <c r="O92" s="1">
        <f t="shared" si="38"/>
        <v>4034650</v>
      </c>
      <c r="P92" s="1">
        <v>0</v>
      </c>
      <c r="Q92" s="1">
        <f t="shared" si="39"/>
        <v>0</v>
      </c>
      <c r="R92" s="25">
        <v>563.4</v>
      </c>
      <c r="S92" s="1">
        <f t="shared" si="40"/>
        <v>2113313.4</v>
      </c>
      <c r="T92" s="1">
        <v>0</v>
      </c>
      <c r="U92" s="1">
        <v>50000</v>
      </c>
      <c r="V92" s="1">
        <v>0</v>
      </c>
      <c r="W92" s="1">
        <v>50000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</row>
    <row r="93" spans="1:30" s="21" customFormat="1" ht="35.1" customHeight="1" x14ac:dyDescent="0.25">
      <c r="A93" s="2">
        <f t="shared" si="35"/>
        <v>77</v>
      </c>
      <c r="B93" s="6">
        <f t="shared" si="15"/>
        <v>77</v>
      </c>
      <c r="C93" s="19" t="s">
        <v>1801</v>
      </c>
      <c r="D93" s="8">
        <f t="shared" si="34"/>
        <v>5605980.8000000007</v>
      </c>
      <c r="E93" s="1">
        <f t="shared" si="37"/>
        <v>1116408.7000000002</v>
      </c>
      <c r="F93" s="1">
        <f>804*447.1</f>
        <v>359468.4</v>
      </c>
      <c r="G93" s="1">
        <f>1693*447.1</f>
        <v>756940.3</v>
      </c>
      <c r="H93" s="1">
        <v>0</v>
      </c>
      <c r="I93" s="1">
        <v>0</v>
      </c>
      <c r="J93" s="1">
        <v>0</v>
      </c>
      <c r="K93" s="1">
        <v>0</v>
      </c>
      <c r="L93" s="2">
        <v>0</v>
      </c>
      <c r="M93" s="1">
        <v>0</v>
      </c>
      <c r="N93" s="25">
        <v>350</v>
      </c>
      <c r="O93" s="1">
        <f t="shared" si="38"/>
        <v>2712500</v>
      </c>
      <c r="P93" s="1">
        <v>0</v>
      </c>
      <c r="Q93" s="1">
        <f t="shared" si="39"/>
        <v>0</v>
      </c>
      <c r="R93" s="25">
        <v>447.1</v>
      </c>
      <c r="S93" s="1">
        <f t="shared" si="40"/>
        <v>1677072.1</v>
      </c>
      <c r="T93" s="1">
        <v>0</v>
      </c>
      <c r="U93" s="1">
        <v>50000</v>
      </c>
      <c r="V93" s="1">
        <v>0</v>
      </c>
      <c r="W93" s="1">
        <v>50000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</row>
    <row r="94" spans="1:30" s="21" customFormat="1" ht="35.1" customHeight="1" x14ac:dyDescent="0.25">
      <c r="A94" s="2">
        <f t="shared" si="35"/>
        <v>78</v>
      </c>
      <c r="B94" s="6">
        <f t="shared" si="15"/>
        <v>78</v>
      </c>
      <c r="C94" s="19" t="s">
        <v>72</v>
      </c>
      <c r="D94" s="8">
        <f t="shared" si="34"/>
        <v>5419790.4000000004</v>
      </c>
      <c r="E94" s="1">
        <f t="shared" si="37"/>
        <v>1041998.1000000001</v>
      </c>
      <c r="F94" s="1">
        <f>804*417.3</f>
        <v>335509.2</v>
      </c>
      <c r="G94" s="1">
        <f>1693*417.3</f>
        <v>706488.9</v>
      </c>
      <c r="H94" s="1">
        <v>0</v>
      </c>
      <c r="I94" s="1">
        <v>0</v>
      </c>
      <c r="J94" s="1">
        <v>0</v>
      </c>
      <c r="K94" s="1">
        <v>0</v>
      </c>
      <c r="L94" s="2">
        <v>0</v>
      </c>
      <c r="M94" s="1">
        <v>0</v>
      </c>
      <c r="N94" s="25">
        <v>350</v>
      </c>
      <c r="O94" s="1">
        <f t="shared" si="38"/>
        <v>2712500</v>
      </c>
      <c r="P94" s="1">
        <v>0</v>
      </c>
      <c r="Q94" s="1">
        <f t="shared" si="39"/>
        <v>0</v>
      </c>
      <c r="R94" s="25">
        <v>417.3</v>
      </c>
      <c r="S94" s="1">
        <f t="shared" si="40"/>
        <v>1565292.3</v>
      </c>
      <c r="T94" s="1">
        <v>0</v>
      </c>
      <c r="U94" s="1">
        <v>50000</v>
      </c>
      <c r="V94" s="1">
        <v>0</v>
      </c>
      <c r="W94" s="1">
        <v>50000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</row>
    <row r="95" spans="1:30" s="21" customFormat="1" ht="35.1" customHeight="1" x14ac:dyDescent="0.25">
      <c r="A95" s="2">
        <f t="shared" si="35"/>
        <v>79</v>
      </c>
      <c r="B95" s="6">
        <f t="shared" si="15"/>
        <v>79</v>
      </c>
      <c r="C95" s="19" t="s">
        <v>73</v>
      </c>
      <c r="D95" s="8">
        <f t="shared" si="34"/>
        <v>5166672</v>
      </c>
      <c r="E95" s="1">
        <f t="shared" si="37"/>
        <v>1033758</v>
      </c>
      <c r="F95" s="1">
        <f>804*414</f>
        <v>332856</v>
      </c>
      <c r="G95" s="1">
        <f>1693*414</f>
        <v>700902</v>
      </c>
      <c r="H95" s="1">
        <v>0</v>
      </c>
      <c r="I95" s="1">
        <v>0</v>
      </c>
      <c r="J95" s="1">
        <v>0</v>
      </c>
      <c r="K95" s="1">
        <v>0</v>
      </c>
      <c r="L95" s="2">
        <v>0</v>
      </c>
      <c r="M95" s="1">
        <v>0</v>
      </c>
      <c r="N95" s="25">
        <v>320</v>
      </c>
      <c r="O95" s="1">
        <f t="shared" si="38"/>
        <v>2480000</v>
      </c>
      <c r="P95" s="1">
        <v>0</v>
      </c>
      <c r="Q95" s="1">
        <f t="shared" si="39"/>
        <v>0</v>
      </c>
      <c r="R95" s="25">
        <v>414</v>
      </c>
      <c r="S95" s="1">
        <f t="shared" si="40"/>
        <v>1552914</v>
      </c>
      <c r="T95" s="1">
        <v>0</v>
      </c>
      <c r="U95" s="1">
        <v>50000</v>
      </c>
      <c r="V95" s="1">
        <v>0</v>
      </c>
      <c r="W95" s="1">
        <v>50000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</row>
    <row r="96" spans="1:30" s="21" customFormat="1" ht="35.1" customHeight="1" x14ac:dyDescent="0.25">
      <c r="A96" s="2">
        <f t="shared" si="35"/>
        <v>80</v>
      </c>
      <c r="B96" s="6">
        <f t="shared" si="15"/>
        <v>80</v>
      </c>
      <c r="C96" s="19" t="s">
        <v>1802</v>
      </c>
      <c r="D96" s="8">
        <f t="shared" si="34"/>
        <v>6690760.4000000004</v>
      </c>
      <c r="E96" s="1">
        <f t="shared" si="37"/>
        <v>1293945.4000000001</v>
      </c>
      <c r="F96" s="1">
        <f>804*518.2</f>
        <v>416632.80000000005</v>
      </c>
      <c r="G96" s="1">
        <f>1693*518.2</f>
        <v>877312.60000000009</v>
      </c>
      <c r="H96" s="1">
        <v>0</v>
      </c>
      <c r="I96" s="1">
        <v>0</v>
      </c>
      <c r="J96" s="1">
        <v>0</v>
      </c>
      <c r="K96" s="1">
        <v>0</v>
      </c>
      <c r="L96" s="2">
        <v>0</v>
      </c>
      <c r="M96" s="1">
        <v>0</v>
      </c>
      <c r="N96" s="25">
        <v>410</v>
      </c>
      <c r="O96" s="1">
        <f t="shared" si="38"/>
        <v>3177500</v>
      </c>
      <c r="P96" s="1">
        <v>0</v>
      </c>
      <c r="Q96" s="1">
        <f t="shared" si="39"/>
        <v>0</v>
      </c>
      <c r="R96" s="25">
        <v>565</v>
      </c>
      <c r="S96" s="1">
        <f t="shared" si="40"/>
        <v>2119315</v>
      </c>
      <c r="T96" s="1">
        <v>0</v>
      </c>
      <c r="U96" s="1">
        <v>50000</v>
      </c>
      <c r="V96" s="1">
        <v>0</v>
      </c>
      <c r="W96" s="1">
        <v>50000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</row>
    <row r="97" spans="1:30" s="21" customFormat="1" ht="35.1" customHeight="1" x14ac:dyDescent="0.25">
      <c r="A97" s="2">
        <f t="shared" si="35"/>
        <v>81</v>
      </c>
      <c r="B97" s="6">
        <f t="shared" si="15"/>
        <v>81</v>
      </c>
      <c r="C97" s="19" t="s">
        <v>74</v>
      </c>
      <c r="D97" s="8">
        <f t="shared" si="34"/>
        <v>6911662</v>
      </c>
      <c r="E97" s="1">
        <f t="shared" si="37"/>
        <v>1420793</v>
      </c>
      <c r="F97" s="1">
        <f>804*569</f>
        <v>457476</v>
      </c>
      <c r="G97" s="1">
        <f>1693*569</f>
        <v>963317</v>
      </c>
      <c r="H97" s="1">
        <v>0</v>
      </c>
      <c r="I97" s="1">
        <v>0</v>
      </c>
      <c r="J97" s="1">
        <v>0</v>
      </c>
      <c r="K97" s="1">
        <v>0</v>
      </c>
      <c r="L97" s="2">
        <v>0</v>
      </c>
      <c r="M97" s="1">
        <v>0</v>
      </c>
      <c r="N97" s="25">
        <v>420.2</v>
      </c>
      <c r="O97" s="1">
        <f t="shared" si="38"/>
        <v>3256550</v>
      </c>
      <c r="P97" s="1">
        <v>0</v>
      </c>
      <c r="Q97" s="1">
        <f t="shared" si="39"/>
        <v>0</v>
      </c>
      <c r="R97" s="25">
        <v>569</v>
      </c>
      <c r="S97" s="1">
        <f t="shared" si="40"/>
        <v>2134319</v>
      </c>
      <c r="T97" s="1">
        <v>0</v>
      </c>
      <c r="U97" s="1">
        <v>50000</v>
      </c>
      <c r="V97" s="1">
        <v>0</v>
      </c>
      <c r="W97" s="1">
        <v>50000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</row>
    <row r="98" spans="1:30" s="21" customFormat="1" ht="35.1" customHeight="1" x14ac:dyDescent="0.25">
      <c r="A98" s="2">
        <f t="shared" si="35"/>
        <v>82</v>
      </c>
      <c r="B98" s="6">
        <f t="shared" si="15"/>
        <v>82</v>
      </c>
      <c r="C98" s="19" t="s">
        <v>75</v>
      </c>
      <c r="D98" s="8">
        <f t="shared" si="34"/>
        <v>5676282</v>
      </c>
      <c r="E98" s="1">
        <f t="shared" si="37"/>
        <v>407949.6</v>
      </c>
      <c r="F98" s="1">
        <f>804*507.4</f>
        <v>407949.6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2">
        <v>0</v>
      </c>
      <c r="M98" s="1">
        <v>0</v>
      </c>
      <c r="N98" s="25">
        <v>421.3</v>
      </c>
      <c r="O98" s="1">
        <f t="shared" si="38"/>
        <v>3265075</v>
      </c>
      <c r="P98" s="1">
        <v>0</v>
      </c>
      <c r="Q98" s="1">
        <f t="shared" si="39"/>
        <v>0</v>
      </c>
      <c r="R98" s="25">
        <v>507.4</v>
      </c>
      <c r="S98" s="1">
        <f t="shared" si="40"/>
        <v>1903257.4</v>
      </c>
      <c r="T98" s="1">
        <v>0</v>
      </c>
      <c r="U98" s="1">
        <v>50000</v>
      </c>
      <c r="V98" s="1">
        <v>0</v>
      </c>
      <c r="W98" s="1">
        <v>50000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</row>
    <row r="99" spans="1:30" s="21" customFormat="1" ht="34.5" customHeight="1" x14ac:dyDescent="0.25">
      <c r="A99" s="2">
        <f t="shared" si="35"/>
        <v>83</v>
      </c>
      <c r="B99" s="6">
        <f t="shared" si="15"/>
        <v>83</v>
      </c>
      <c r="C99" s="19" t="s">
        <v>2228</v>
      </c>
      <c r="D99" s="8">
        <f t="shared" si="34"/>
        <v>5961600</v>
      </c>
      <c r="E99" s="1">
        <f>SUM(F99:K99)</f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2">
        <v>0</v>
      </c>
      <c r="M99" s="1">
        <v>0</v>
      </c>
      <c r="N99" s="1">
        <v>1200</v>
      </c>
      <c r="O99" s="1">
        <f>N99*4968</f>
        <v>5961600</v>
      </c>
      <c r="P99" s="1">
        <v>0</v>
      </c>
      <c r="Q99" s="1">
        <f>P99*1400</f>
        <v>0</v>
      </c>
      <c r="R99" s="1">
        <v>0</v>
      </c>
      <c r="S99" s="1">
        <f>R99*3751</f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</row>
    <row r="100" spans="1:30" s="21" customFormat="1" ht="35.1" customHeight="1" x14ac:dyDescent="0.25">
      <c r="A100" s="2">
        <f t="shared" si="35"/>
        <v>84</v>
      </c>
      <c r="B100" s="6">
        <f t="shared" si="15"/>
        <v>84</v>
      </c>
      <c r="C100" s="19" t="s">
        <v>76</v>
      </c>
      <c r="D100" s="8">
        <f t="shared" si="34"/>
        <v>5610243</v>
      </c>
      <c r="E100" s="1">
        <f t="shared" si="37"/>
        <v>404090.4</v>
      </c>
      <c r="F100" s="1">
        <f>804*502.6</f>
        <v>404090.4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2">
        <v>0</v>
      </c>
      <c r="M100" s="1">
        <v>0</v>
      </c>
      <c r="N100" s="25">
        <v>415.6</v>
      </c>
      <c r="O100" s="1">
        <f t="shared" si="38"/>
        <v>3220900</v>
      </c>
      <c r="P100" s="1">
        <v>0</v>
      </c>
      <c r="Q100" s="1">
        <f t="shared" si="39"/>
        <v>0</v>
      </c>
      <c r="R100" s="25">
        <v>502.6</v>
      </c>
      <c r="S100" s="1">
        <f t="shared" si="40"/>
        <v>1885252.6</v>
      </c>
      <c r="T100" s="1">
        <v>0</v>
      </c>
      <c r="U100" s="1">
        <v>50000</v>
      </c>
      <c r="V100" s="1">
        <v>0</v>
      </c>
      <c r="W100" s="1">
        <v>50000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</row>
    <row r="101" spans="1:30" s="21" customFormat="1" ht="35.1" customHeight="1" x14ac:dyDescent="0.25">
      <c r="A101" s="2">
        <f t="shared" si="35"/>
        <v>85</v>
      </c>
      <c r="B101" s="6">
        <f t="shared" si="15"/>
        <v>85</v>
      </c>
      <c r="C101" s="19" t="s">
        <v>77</v>
      </c>
      <c r="D101" s="8">
        <f t="shared" si="34"/>
        <v>6966885.9000000004</v>
      </c>
      <c r="E101" s="1">
        <f t="shared" si="37"/>
        <v>1287453.2000000002</v>
      </c>
      <c r="F101" s="1">
        <f>804*515.6</f>
        <v>414542.4</v>
      </c>
      <c r="G101" s="1">
        <f>1693*515.6</f>
        <v>872910.8</v>
      </c>
      <c r="H101" s="1">
        <v>0</v>
      </c>
      <c r="I101" s="1">
        <v>0</v>
      </c>
      <c r="J101" s="1">
        <v>0</v>
      </c>
      <c r="K101" s="1">
        <v>0</v>
      </c>
      <c r="L101" s="2">
        <v>0</v>
      </c>
      <c r="M101" s="1">
        <v>0</v>
      </c>
      <c r="N101" s="25">
        <v>450</v>
      </c>
      <c r="O101" s="1">
        <f t="shared" si="38"/>
        <v>3487500</v>
      </c>
      <c r="P101" s="1">
        <v>0</v>
      </c>
      <c r="Q101" s="1">
        <f t="shared" si="39"/>
        <v>0</v>
      </c>
      <c r="R101" s="25">
        <v>557.70000000000005</v>
      </c>
      <c r="S101" s="1">
        <f t="shared" si="40"/>
        <v>2091932.7000000002</v>
      </c>
      <c r="T101" s="1">
        <v>0</v>
      </c>
      <c r="U101" s="1">
        <v>50000</v>
      </c>
      <c r="V101" s="1">
        <v>0</v>
      </c>
      <c r="W101" s="1">
        <v>50000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</row>
    <row r="102" spans="1:30" s="21" customFormat="1" ht="35.1" customHeight="1" x14ac:dyDescent="0.25">
      <c r="A102" s="2">
        <f t="shared" si="35"/>
        <v>86</v>
      </c>
      <c r="B102" s="6">
        <f t="shared" si="15"/>
        <v>86</v>
      </c>
      <c r="C102" s="19" t="s">
        <v>78</v>
      </c>
      <c r="D102" s="8">
        <f t="shared" si="34"/>
        <v>9252349.8000000007</v>
      </c>
      <c r="E102" s="1">
        <f t="shared" si="37"/>
        <v>312916.8</v>
      </c>
      <c r="F102" s="1">
        <f>804*389.2</f>
        <v>312916.8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2">
        <v>0</v>
      </c>
      <c r="M102" s="1">
        <v>0</v>
      </c>
      <c r="N102" s="25">
        <v>292.12</v>
      </c>
      <c r="O102" s="1">
        <f t="shared" ref="O102:O107" si="41">N102*7750</f>
        <v>2263930</v>
      </c>
      <c r="P102" s="1">
        <v>0</v>
      </c>
      <c r="Q102" s="1">
        <f t="shared" si="39"/>
        <v>0</v>
      </c>
      <c r="R102" s="25">
        <v>1753</v>
      </c>
      <c r="S102" s="1">
        <f t="shared" si="40"/>
        <v>6575503</v>
      </c>
      <c r="T102" s="1">
        <v>0</v>
      </c>
      <c r="U102" s="1">
        <v>50000</v>
      </c>
      <c r="V102" s="1">
        <v>0</v>
      </c>
      <c r="W102" s="1">
        <v>50000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</row>
    <row r="103" spans="1:30" s="21" customFormat="1" ht="35.1" customHeight="1" x14ac:dyDescent="0.25">
      <c r="A103" s="2">
        <f t="shared" si="35"/>
        <v>87</v>
      </c>
      <c r="B103" s="6">
        <f t="shared" ref="B103" si="42">A103</f>
        <v>87</v>
      </c>
      <c r="C103" s="19" t="s">
        <v>2060</v>
      </c>
      <c r="D103" s="8">
        <f t="shared" si="34"/>
        <v>4988080</v>
      </c>
      <c r="E103" s="1">
        <f t="shared" ref="E103" si="43">SUM(F103:K103)</f>
        <v>337680</v>
      </c>
      <c r="F103" s="1">
        <f>804*420</f>
        <v>337680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2">
        <v>0</v>
      </c>
      <c r="M103" s="1">
        <v>0</v>
      </c>
      <c r="N103" s="1">
        <v>400</v>
      </c>
      <c r="O103" s="1">
        <f>N103*7750</f>
        <v>3100000</v>
      </c>
      <c r="P103" s="1">
        <v>0</v>
      </c>
      <c r="Q103" s="1">
        <f t="shared" ref="Q103" si="44">P103*1400</f>
        <v>0</v>
      </c>
      <c r="R103" s="1">
        <v>400</v>
      </c>
      <c r="S103" s="1">
        <f t="shared" ref="S103" si="45">R103*3751</f>
        <v>1500400</v>
      </c>
      <c r="T103" s="1">
        <v>0</v>
      </c>
      <c r="U103" s="1">
        <v>50000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</row>
    <row r="104" spans="1:30" s="21" customFormat="1" ht="35.1" customHeight="1" x14ac:dyDescent="0.25">
      <c r="A104" s="2">
        <f t="shared" si="35"/>
        <v>88</v>
      </c>
      <c r="B104" s="6">
        <f t="shared" si="15"/>
        <v>88</v>
      </c>
      <c r="C104" s="19" t="s">
        <v>79</v>
      </c>
      <c r="D104" s="8">
        <f t="shared" si="34"/>
        <v>8593601.5</v>
      </c>
      <c r="E104" s="1">
        <f t="shared" si="37"/>
        <v>365820</v>
      </c>
      <c r="F104" s="1">
        <f>804*455</f>
        <v>365820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2">
        <v>0</v>
      </c>
      <c r="M104" s="1">
        <v>0</v>
      </c>
      <c r="N104" s="25">
        <v>279.67</v>
      </c>
      <c r="O104" s="1">
        <f t="shared" si="41"/>
        <v>2167442.5</v>
      </c>
      <c r="P104" s="1">
        <v>0</v>
      </c>
      <c r="Q104" s="1">
        <f t="shared" si="39"/>
        <v>0</v>
      </c>
      <c r="R104" s="25">
        <v>1589</v>
      </c>
      <c r="S104" s="1">
        <f t="shared" si="40"/>
        <v>5960339</v>
      </c>
      <c r="T104" s="1">
        <v>0</v>
      </c>
      <c r="U104" s="1">
        <v>50000</v>
      </c>
      <c r="V104" s="1">
        <v>0</v>
      </c>
      <c r="W104" s="1">
        <v>50000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</row>
    <row r="105" spans="1:30" s="21" customFormat="1" ht="35.1" customHeight="1" x14ac:dyDescent="0.25">
      <c r="A105" s="2">
        <f t="shared" si="35"/>
        <v>89</v>
      </c>
      <c r="B105" s="6">
        <f t="shared" si="15"/>
        <v>89</v>
      </c>
      <c r="C105" s="19" t="s">
        <v>80</v>
      </c>
      <c r="D105" s="8">
        <f t="shared" si="34"/>
        <v>8594405.5</v>
      </c>
      <c r="E105" s="1">
        <f t="shared" si="37"/>
        <v>366624</v>
      </c>
      <c r="F105" s="1">
        <f>804*456</f>
        <v>366624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2">
        <v>0</v>
      </c>
      <c r="M105" s="1">
        <v>0</v>
      </c>
      <c r="N105" s="25">
        <v>279.67</v>
      </c>
      <c r="O105" s="1">
        <f t="shared" si="41"/>
        <v>2167442.5</v>
      </c>
      <c r="P105" s="1">
        <v>0</v>
      </c>
      <c r="Q105" s="1">
        <f t="shared" si="39"/>
        <v>0</v>
      </c>
      <c r="R105" s="25">
        <v>1589</v>
      </c>
      <c r="S105" s="1">
        <f t="shared" si="40"/>
        <v>5960339</v>
      </c>
      <c r="T105" s="1">
        <v>0</v>
      </c>
      <c r="U105" s="1">
        <v>50000</v>
      </c>
      <c r="V105" s="1">
        <v>0</v>
      </c>
      <c r="W105" s="1">
        <v>50000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</row>
    <row r="106" spans="1:30" s="21" customFormat="1" ht="35.1" customHeight="1" x14ac:dyDescent="0.25">
      <c r="A106" s="2">
        <f t="shared" si="35"/>
        <v>90</v>
      </c>
      <c r="B106" s="6">
        <f t="shared" si="15"/>
        <v>90</v>
      </c>
      <c r="C106" s="19" t="s">
        <v>1803</v>
      </c>
      <c r="D106" s="8">
        <f t="shared" si="34"/>
        <v>9967257.5999999996</v>
      </c>
      <c r="E106" s="1">
        <f t="shared" si="37"/>
        <v>3392377.4999999995</v>
      </c>
      <c r="F106" s="1">
        <f>804*864.3</f>
        <v>694897.2</v>
      </c>
      <c r="G106" s="1">
        <f>1693*864.3</f>
        <v>1463259.9</v>
      </c>
      <c r="H106" s="1">
        <f>390*864.3</f>
        <v>337077</v>
      </c>
      <c r="I106" s="1">
        <f>571*864.3</f>
        <v>493515.3</v>
      </c>
      <c r="J106" s="1">
        <f>467*864.3</f>
        <v>403628.1</v>
      </c>
      <c r="K106" s="1">
        <v>0</v>
      </c>
      <c r="L106" s="2">
        <v>0</v>
      </c>
      <c r="M106" s="1">
        <v>0</v>
      </c>
      <c r="N106" s="7">
        <v>578.9</v>
      </c>
      <c r="O106" s="1">
        <f t="shared" si="41"/>
        <v>4486475</v>
      </c>
      <c r="P106" s="1">
        <v>0</v>
      </c>
      <c r="Q106" s="1">
        <f t="shared" si="39"/>
        <v>0</v>
      </c>
      <c r="R106" s="1">
        <v>530.1</v>
      </c>
      <c r="S106" s="1">
        <f t="shared" si="40"/>
        <v>1988405.1</v>
      </c>
      <c r="T106" s="1">
        <v>0</v>
      </c>
      <c r="U106" s="1">
        <v>50000</v>
      </c>
      <c r="V106" s="1">
        <v>0</v>
      </c>
      <c r="W106" s="1">
        <v>50000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</row>
    <row r="107" spans="1:30" s="21" customFormat="1" ht="35.1" customHeight="1" x14ac:dyDescent="0.25">
      <c r="A107" s="2">
        <f t="shared" si="35"/>
        <v>91</v>
      </c>
      <c r="B107" s="6">
        <f t="shared" si="15"/>
        <v>91</v>
      </c>
      <c r="C107" s="19" t="s">
        <v>2444</v>
      </c>
      <c r="D107" s="8">
        <f t="shared" si="34"/>
        <v>21096129.5</v>
      </c>
      <c r="E107" s="1">
        <f t="shared" si="37"/>
        <v>13299077.500000002</v>
      </c>
      <c r="F107" s="1">
        <f>804*3388.3</f>
        <v>2724193.2</v>
      </c>
      <c r="G107" s="1">
        <f>1693*3388.3</f>
        <v>5736391.9000000004</v>
      </c>
      <c r="H107" s="1">
        <f>390*3388.3</f>
        <v>1321437</v>
      </c>
      <c r="I107" s="1">
        <f>571*3388.3</f>
        <v>1934719.3</v>
      </c>
      <c r="J107" s="1">
        <f>467*3388.3</f>
        <v>1582336.1</v>
      </c>
      <c r="K107" s="1">
        <v>0</v>
      </c>
      <c r="L107" s="2">
        <v>0</v>
      </c>
      <c r="M107" s="1">
        <v>0</v>
      </c>
      <c r="N107" s="1">
        <v>0</v>
      </c>
      <c r="O107" s="1">
        <f t="shared" si="41"/>
        <v>0</v>
      </c>
      <c r="P107" s="1">
        <v>0</v>
      </c>
      <c r="Q107" s="1">
        <f t="shared" si="39"/>
        <v>0</v>
      </c>
      <c r="R107" s="1">
        <v>2052</v>
      </c>
      <c r="S107" s="1">
        <f t="shared" si="40"/>
        <v>7697052</v>
      </c>
      <c r="T107" s="1">
        <v>0</v>
      </c>
      <c r="U107" s="1">
        <v>50000</v>
      </c>
      <c r="V107" s="1">
        <v>0</v>
      </c>
      <c r="W107" s="1">
        <v>50000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</row>
    <row r="108" spans="1:30" s="21" customFormat="1" ht="35.1" customHeight="1" x14ac:dyDescent="0.25">
      <c r="A108" s="2">
        <f t="shared" si="35"/>
        <v>92</v>
      </c>
      <c r="B108" s="6">
        <f t="shared" si="15"/>
        <v>92</v>
      </c>
      <c r="C108" s="19" t="s">
        <v>1805</v>
      </c>
      <c r="D108" s="8">
        <f t="shared" si="34"/>
        <v>4636170.8</v>
      </c>
      <c r="E108" s="1">
        <f t="shared" si="37"/>
        <v>2582650</v>
      </c>
      <c r="F108" s="1">
        <f>804*658</f>
        <v>529032</v>
      </c>
      <c r="G108" s="1">
        <f>1693*658</f>
        <v>1113994</v>
      </c>
      <c r="H108" s="1">
        <f>390*658</f>
        <v>256620</v>
      </c>
      <c r="I108" s="1">
        <f>571*658</f>
        <v>375718</v>
      </c>
      <c r="J108" s="1">
        <f>467*658</f>
        <v>307286</v>
      </c>
      <c r="K108" s="1">
        <v>0</v>
      </c>
      <c r="L108" s="2">
        <v>0</v>
      </c>
      <c r="M108" s="1">
        <v>0</v>
      </c>
      <c r="N108" s="1">
        <v>0</v>
      </c>
      <c r="O108" s="1">
        <v>0</v>
      </c>
      <c r="P108" s="1">
        <v>0</v>
      </c>
      <c r="Q108" s="1">
        <f t="shared" si="39"/>
        <v>0</v>
      </c>
      <c r="R108" s="1">
        <v>520.79999999999995</v>
      </c>
      <c r="S108" s="1">
        <f t="shared" si="40"/>
        <v>1953520.7999999998</v>
      </c>
      <c r="T108" s="1">
        <v>0</v>
      </c>
      <c r="U108" s="1">
        <v>50000</v>
      </c>
      <c r="V108" s="1">
        <v>0</v>
      </c>
      <c r="W108" s="1">
        <v>50000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</row>
    <row r="109" spans="1:30" s="21" customFormat="1" ht="35.1" customHeight="1" x14ac:dyDescent="0.25">
      <c r="A109" s="2">
        <f t="shared" si="35"/>
        <v>93</v>
      </c>
      <c r="B109" s="6">
        <f t="shared" si="15"/>
        <v>93</v>
      </c>
      <c r="C109" s="19" t="s">
        <v>1806</v>
      </c>
      <c r="D109" s="8">
        <f t="shared" si="34"/>
        <v>4552400</v>
      </c>
      <c r="E109" s="1">
        <f t="shared" si="37"/>
        <v>2520635</v>
      </c>
      <c r="F109" s="7">
        <f>804*642.2</f>
        <v>516328.80000000005</v>
      </c>
      <c r="G109" s="7">
        <f>1693*642.2</f>
        <v>1087244.6000000001</v>
      </c>
      <c r="H109" s="7">
        <f>390*642.2</f>
        <v>250458.00000000003</v>
      </c>
      <c r="I109" s="7">
        <f>571*642.2</f>
        <v>366696.2</v>
      </c>
      <c r="J109" s="7">
        <f>467*642.2</f>
        <v>299907.40000000002</v>
      </c>
      <c r="K109" s="1">
        <v>0</v>
      </c>
      <c r="L109" s="2">
        <v>0</v>
      </c>
      <c r="M109" s="1">
        <v>0</v>
      </c>
      <c r="N109" s="1">
        <v>0</v>
      </c>
      <c r="O109" s="1">
        <v>0</v>
      </c>
      <c r="P109" s="1">
        <v>0</v>
      </c>
      <c r="Q109" s="1">
        <f t="shared" si="39"/>
        <v>0</v>
      </c>
      <c r="R109" s="1">
        <v>515</v>
      </c>
      <c r="S109" s="1">
        <f t="shared" si="40"/>
        <v>1931765</v>
      </c>
      <c r="T109" s="1">
        <v>0</v>
      </c>
      <c r="U109" s="1">
        <v>50000</v>
      </c>
      <c r="V109" s="1">
        <v>0</v>
      </c>
      <c r="W109" s="1">
        <v>50000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</row>
    <row r="110" spans="1:30" s="21" customFormat="1" ht="35.1" customHeight="1" x14ac:dyDescent="0.25">
      <c r="A110" s="2">
        <f t="shared" si="35"/>
        <v>94</v>
      </c>
      <c r="B110" s="6">
        <f t="shared" si="15"/>
        <v>94</v>
      </c>
      <c r="C110" s="19" t="s">
        <v>1807</v>
      </c>
      <c r="D110" s="8">
        <f t="shared" si="34"/>
        <v>45257007.200000003</v>
      </c>
      <c r="E110" s="1">
        <f t="shared" si="37"/>
        <v>25622400</v>
      </c>
      <c r="F110" s="7">
        <f>804*6528</f>
        <v>5248512</v>
      </c>
      <c r="G110" s="7">
        <f>1693*6528</f>
        <v>11051904</v>
      </c>
      <c r="H110" s="7">
        <f>390*6528</f>
        <v>2545920</v>
      </c>
      <c r="I110" s="7">
        <f>571*6528</f>
        <v>3727488</v>
      </c>
      <c r="J110" s="7">
        <f>467*6528</f>
        <v>3048576</v>
      </c>
      <c r="K110" s="1">
        <v>0</v>
      </c>
      <c r="L110" s="2">
        <v>0</v>
      </c>
      <c r="M110" s="1">
        <v>0</v>
      </c>
      <c r="N110" s="1">
        <v>1652.9</v>
      </c>
      <c r="O110" s="1">
        <f>N110*4968</f>
        <v>8211607.2000000002</v>
      </c>
      <c r="P110" s="1">
        <v>50</v>
      </c>
      <c r="Q110" s="1">
        <f t="shared" si="39"/>
        <v>70000</v>
      </c>
      <c r="R110" s="1">
        <v>3000</v>
      </c>
      <c r="S110" s="1">
        <f t="shared" si="40"/>
        <v>11253000</v>
      </c>
      <c r="T110" s="1">
        <v>0</v>
      </c>
      <c r="U110" s="1">
        <v>50000</v>
      </c>
      <c r="V110" s="1">
        <v>0</v>
      </c>
      <c r="W110" s="1">
        <v>50000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</row>
    <row r="111" spans="1:30" s="21" customFormat="1" ht="35.1" customHeight="1" x14ac:dyDescent="0.25">
      <c r="A111" s="2">
        <f t="shared" si="35"/>
        <v>95</v>
      </c>
      <c r="B111" s="6">
        <f>A111</f>
        <v>95</v>
      </c>
      <c r="C111" s="19" t="s">
        <v>1804</v>
      </c>
      <c r="D111" s="8">
        <f t="shared" si="34"/>
        <v>31970096.500000004</v>
      </c>
      <c r="E111" s="1">
        <f>SUM(F111:K111)</f>
        <v>17333977.500000004</v>
      </c>
      <c r="F111" s="7">
        <f>804*4416.3</f>
        <v>3550705.2</v>
      </c>
      <c r="G111" s="7">
        <f>1693*4416.3</f>
        <v>7476795.9000000004</v>
      </c>
      <c r="H111" s="7">
        <f>390*4416.3</f>
        <v>1722357</v>
      </c>
      <c r="I111" s="7">
        <f>571*4416.3</f>
        <v>2521707.3000000003</v>
      </c>
      <c r="J111" s="7">
        <f>467*4416.3</f>
        <v>2062412.1</v>
      </c>
      <c r="K111" s="1">
        <v>0</v>
      </c>
      <c r="L111" s="2">
        <v>0</v>
      </c>
      <c r="M111" s="1">
        <v>0</v>
      </c>
      <c r="N111" s="1">
        <v>925.7</v>
      </c>
      <c r="O111" s="1">
        <f>N111*7750</f>
        <v>7174175</v>
      </c>
      <c r="P111" s="1">
        <v>50</v>
      </c>
      <c r="Q111" s="1">
        <f>P111*1400</f>
        <v>70000</v>
      </c>
      <c r="R111" s="1">
        <v>1944</v>
      </c>
      <c r="S111" s="1">
        <f>R111*3751</f>
        <v>7291944</v>
      </c>
      <c r="T111" s="1">
        <v>0</v>
      </c>
      <c r="U111" s="1">
        <v>50000</v>
      </c>
      <c r="V111" s="1">
        <v>0</v>
      </c>
      <c r="W111" s="1">
        <v>50000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</row>
    <row r="112" spans="1:30" s="21" customFormat="1" ht="35.1" customHeight="1" x14ac:dyDescent="0.25">
      <c r="A112" s="2">
        <f t="shared" si="35"/>
        <v>96</v>
      </c>
      <c r="B112" s="6">
        <f t="shared" si="15"/>
        <v>96</v>
      </c>
      <c r="C112" s="19" t="s">
        <v>81</v>
      </c>
      <c r="D112" s="8">
        <f t="shared" si="34"/>
        <v>4594508.75</v>
      </c>
      <c r="E112" s="1">
        <f t="shared" si="37"/>
        <v>2543988.7499999995</v>
      </c>
      <c r="F112" s="1">
        <f>804*648.15</f>
        <v>521112.6</v>
      </c>
      <c r="G112" s="1">
        <f>1693*648.15</f>
        <v>1097317.95</v>
      </c>
      <c r="H112" s="1">
        <f>390*648.15</f>
        <v>252778.5</v>
      </c>
      <c r="I112" s="1">
        <f>571*648.15</f>
        <v>370093.64999999997</v>
      </c>
      <c r="J112" s="1">
        <f>467*648.15</f>
        <v>302686.05</v>
      </c>
      <c r="K112" s="1">
        <v>0</v>
      </c>
      <c r="L112" s="2">
        <v>0</v>
      </c>
      <c r="M112" s="1">
        <v>0</v>
      </c>
      <c r="N112" s="1">
        <v>0</v>
      </c>
      <c r="O112" s="1">
        <v>0</v>
      </c>
      <c r="P112" s="1">
        <v>0</v>
      </c>
      <c r="Q112" s="1">
        <f t="shared" si="39"/>
        <v>0</v>
      </c>
      <c r="R112" s="1">
        <v>520</v>
      </c>
      <c r="S112" s="1">
        <f t="shared" si="40"/>
        <v>1950520</v>
      </c>
      <c r="T112" s="1">
        <v>0</v>
      </c>
      <c r="U112" s="1">
        <v>50000</v>
      </c>
      <c r="V112" s="1">
        <v>0</v>
      </c>
      <c r="W112" s="1">
        <v>50000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</row>
    <row r="113" spans="1:30" s="21" customFormat="1" ht="35.1" customHeight="1" x14ac:dyDescent="0.25">
      <c r="A113" s="2">
        <f t="shared" si="35"/>
        <v>97</v>
      </c>
      <c r="B113" s="2">
        <f t="shared" si="15"/>
        <v>97</v>
      </c>
      <c r="C113" s="19" t="s">
        <v>82</v>
      </c>
      <c r="D113" s="38">
        <f t="shared" si="34"/>
        <v>4662704.5</v>
      </c>
      <c r="E113" s="1">
        <f t="shared" si="37"/>
        <v>2529662.5</v>
      </c>
      <c r="F113" s="7">
        <f>804*644.5</f>
        <v>518178</v>
      </c>
      <c r="G113" s="7">
        <f>1693*644.5</f>
        <v>1091138.5</v>
      </c>
      <c r="H113" s="7">
        <f>390*644.5</f>
        <v>251355</v>
      </c>
      <c r="I113" s="7">
        <f>571*644.5</f>
        <v>368009.5</v>
      </c>
      <c r="J113" s="7">
        <f>467*644.5</f>
        <v>300981.5</v>
      </c>
      <c r="K113" s="1">
        <v>0</v>
      </c>
      <c r="L113" s="2">
        <v>0</v>
      </c>
      <c r="M113" s="1">
        <v>0</v>
      </c>
      <c r="N113" s="1">
        <v>0</v>
      </c>
      <c r="O113" s="1">
        <v>0</v>
      </c>
      <c r="P113" s="1">
        <v>0</v>
      </c>
      <c r="Q113" s="1">
        <f t="shared" si="39"/>
        <v>0</v>
      </c>
      <c r="R113" s="1">
        <v>542</v>
      </c>
      <c r="S113" s="1">
        <f t="shared" si="40"/>
        <v>2033042</v>
      </c>
      <c r="T113" s="1">
        <v>0</v>
      </c>
      <c r="U113" s="1">
        <v>50000</v>
      </c>
      <c r="V113" s="1">
        <v>0</v>
      </c>
      <c r="W113" s="1">
        <v>50000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</row>
    <row r="114" spans="1:30" s="21" customFormat="1" ht="35.1" customHeight="1" x14ac:dyDescent="0.25">
      <c r="A114" s="2">
        <f t="shared" si="35"/>
        <v>98</v>
      </c>
      <c r="B114" s="2">
        <f t="shared" si="15"/>
        <v>98</v>
      </c>
      <c r="C114" s="19" t="s">
        <v>2055</v>
      </c>
      <c r="D114" s="38">
        <f t="shared" si="34"/>
        <v>4569191.75</v>
      </c>
      <c r="E114" s="1">
        <f t="shared" si="37"/>
        <v>2576173.7500000005</v>
      </c>
      <c r="F114" s="1">
        <f>804*656.35</f>
        <v>527705.4</v>
      </c>
      <c r="G114" s="1">
        <f>1693*656.35</f>
        <v>1111200.55</v>
      </c>
      <c r="H114" s="1">
        <f>390*656.35</f>
        <v>255976.5</v>
      </c>
      <c r="I114" s="1">
        <f>571*656.35</f>
        <v>374775.85000000003</v>
      </c>
      <c r="J114" s="1">
        <f>467*656.35</f>
        <v>306515.45</v>
      </c>
      <c r="K114" s="1">
        <v>0</v>
      </c>
      <c r="L114" s="2">
        <v>0</v>
      </c>
      <c r="M114" s="1">
        <v>0</v>
      </c>
      <c r="N114" s="1">
        <v>0</v>
      </c>
      <c r="O114" s="1">
        <f t="shared" ref="O114:O125" si="46">N114*7750</f>
        <v>0</v>
      </c>
      <c r="P114" s="1">
        <v>0</v>
      </c>
      <c r="Q114" s="1">
        <f t="shared" si="39"/>
        <v>0</v>
      </c>
      <c r="R114" s="1">
        <v>518</v>
      </c>
      <c r="S114" s="1">
        <f t="shared" si="40"/>
        <v>1943018</v>
      </c>
      <c r="T114" s="1">
        <v>0</v>
      </c>
      <c r="U114" s="1">
        <v>50000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</row>
    <row r="115" spans="1:30" s="21" customFormat="1" ht="35.1" customHeight="1" x14ac:dyDescent="0.25">
      <c r="A115" s="2">
        <f t="shared" si="35"/>
        <v>99</v>
      </c>
      <c r="B115" s="6">
        <f t="shared" ref="B115:B124" si="47">A115</f>
        <v>99</v>
      </c>
      <c r="C115" s="19" t="s">
        <v>2054</v>
      </c>
      <c r="D115" s="8">
        <f t="shared" si="34"/>
        <v>17006208</v>
      </c>
      <c r="E115" s="1">
        <f t="shared" ref="E115:E124" si="48">SUM(F115:K115)</f>
        <v>12629079.999999998</v>
      </c>
      <c r="F115" s="1">
        <f>804*3217.6</f>
        <v>2586950.4</v>
      </c>
      <c r="G115" s="1">
        <f>1693*3217.6</f>
        <v>5447396.7999999998</v>
      </c>
      <c r="H115" s="1">
        <f>390*3217.6</f>
        <v>1254864</v>
      </c>
      <c r="I115" s="1">
        <f>571*3217.6</f>
        <v>1837249.5999999999</v>
      </c>
      <c r="J115" s="1">
        <f>467*3217.6</f>
        <v>1502619.2</v>
      </c>
      <c r="K115" s="1">
        <v>0</v>
      </c>
      <c r="L115" s="2">
        <v>0</v>
      </c>
      <c r="M115" s="1">
        <v>0</v>
      </c>
      <c r="N115" s="1">
        <v>871</v>
      </c>
      <c r="O115" s="1">
        <f>N115*4968</f>
        <v>4327128</v>
      </c>
      <c r="P115" s="1">
        <v>0</v>
      </c>
      <c r="Q115" s="1">
        <f t="shared" ref="Q115:Q124" si="49">P115*1400</f>
        <v>0</v>
      </c>
      <c r="R115" s="1">
        <v>0</v>
      </c>
      <c r="S115" s="1">
        <f t="shared" ref="S115:S124" si="50">R115*3751</f>
        <v>0</v>
      </c>
      <c r="T115" s="1">
        <v>0</v>
      </c>
      <c r="U115" s="1">
        <v>50000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</row>
    <row r="116" spans="1:30" s="21" customFormat="1" ht="35.1" customHeight="1" x14ac:dyDescent="0.25">
      <c r="A116" s="2">
        <f t="shared" si="35"/>
        <v>100</v>
      </c>
      <c r="B116" s="6">
        <f t="shared" ref="B116" si="51">A116</f>
        <v>100</v>
      </c>
      <c r="C116" s="19" t="s">
        <v>2056</v>
      </c>
      <c r="D116" s="8">
        <f t="shared" si="34"/>
        <v>5491615.3000000007</v>
      </c>
      <c r="E116" s="1">
        <f t="shared" ref="E116" si="52">SUM(F116:K116)</f>
        <v>3199267.5000000005</v>
      </c>
      <c r="F116" s="1">
        <f>804*815.1</f>
        <v>655340.4</v>
      </c>
      <c r="G116" s="1">
        <f>1693*815.1</f>
        <v>1379964.3</v>
      </c>
      <c r="H116" s="1">
        <f>390*815.1</f>
        <v>317889</v>
      </c>
      <c r="I116" s="1">
        <f>571*815.1</f>
        <v>465422.10000000003</v>
      </c>
      <c r="J116" s="1">
        <f>467*815.1</f>
        <v>380651.7</v>
      </c>
      <c r="K116" s="1">
        <v>0</v>
      </c>
      <c r="L116" s="2">
        <v>0</v>
      </c>
      <c r="M116" s="1">
        <v>0</v>
      </c>
      <c r="N116" s="1">
        <v>0</v>
      </c>
      <c r="O116" s="1">
        <f t="shared" si="46"/>
        <v>0</v>
      </c>
      <c r="P116" s="1">
        <v>0</v>
      </c>
      <c r="Q116" s="1">
        <f t="shared" ref="Q116" si="53">P116*1400</f>
        <v>0</v>
      </c>
      <c r="R116" s="1">
        <v>597.79999999999995</v>
      </c>
      <c r="S116" s="1">
        <f t="shared" ref="S116" si="54">R116*3751</f>
        <v>2242347.7999999998</v>
      </c>
      <c r="T116" s="1">
        <v>0</v>
      </c>
      <c r="U116" s="1">
        <v>50000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</row>
    <row r="117" spans="1:30" s="21" customFormat="1" ht="35.1" customHeight="1" x14ac:dyDescent="0.25">
      <c r="A117" s="2">
        <f t="shared" si="35"/>
        <v>101</v>
      </c>
      <c r="B117" s="6">
        <f t="shared" si="47"/>
        <v>101</v>
      </c>
      <c r="C117" s="19" t="s">
        <v>83</v>
      </c>
      <c r="D117" s="8">
        <f t="shared" si="34"/>
        <v>4392700</v>
      </c>
      <c r="E117" s="1">
        <f t="shared" si="48"/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2">
        <v>0</v>
      </c>
      <c r="M117" s="1">
        <v>0</v>
      </c>
      <c r="N117" s="1">
        <v>566.79999999999995</v>
      </c>
      <c r="O117" s="1">
        <f t="shared" si="46"/>
        <v>4392700</v>
      </c>
      <c r="P117" s="1">
        <v>0</v>
      </c>
      <c r="Q117" s="1">
        <f t="shared" si="49"/>
        <v>0</v>
      </c>
      <c r="R117" s="1">
        <v>0</v>
      </c>
      <c r="S117" s="1">
        <f t="shared" si="50"/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</row>
    <row r="118" spans="1:30" s="21" customFormat="1" ht="35.1" customHeight="1" x14ac:dyDescent="0.25">
      <c r="A118" s="2">
        <f t="shared" si="35"/>
        <v>102</v>
      </c>
      <c r="B118" s="6">
        <f t="shared" si="47"/>
        <v>102</v>
      </c>
      <c r="C118" s="19" t="s">
        <v>2057</v>
      </c>
      <c r="D118" s="8">
        <f t="shared" si="34"/>
        <v>4636097</v>
      </c>
      <c r="E118" s="1">
        <f t="shared" si="48"/>
        <v>2778115</v>
      </c>
      <c r="F118" s="1">
        <f>804*707.8</f>
        <v>569071.19999999995</v>
      </c>
      <c r="G118" s="1">
        <f>1693*707.8</f>
        <v>1198305.3999999999</v>
      </c>
      <c r="H118" s="1">
        <f>390*707.8</f>
        <v>276042</v>
      </c>
      <c r="I118" s="1">
        <f>571*707.8</f>
        <v>404153.8</v>
      </c>
      <c r="J118" s="1">
        <f>467*707.8</f>
        <v>330542.59999999998</v>
      </c>
      <c r="K118" s="1">
        <v>0</v>
      </c>
      <c r="L118" s="2">
        <v>0</v>
      </c>
      <c r="M118" s="1">
        <v>0</v>
      </c>
      <c r="N118" s="1">
        <v>0</v>
      </c>
      <c r="O118" s="1">
        <f t="shared" si="46"/>
        <v>0</v>
      </c>
      <c r="P118" s="1">
        <v>0</v>
      </c>
      <c r="Q118" s="1">
        <f t="shared" si="49"/>
        <v>0</v>
      </c>
      <c r="R118" s="1">
        <v>482</v>
      </c>
      <c r="S118" s="1">
        <f t="shared" si="50"/>
        <v>1807982</v>
      </c>
      <c r="T118" s="1">
        <v>0</v>
      </c>
      <c r="U118" s="1">
        <v>50000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</row>
    <row r="119" spans="1:30" s="21" customFormat="1" ht="35.1" customHeight="1" x14ac:dyDescent="0.25">
      <c r="A119" s="2">
        <f t="shared" si="35"/>
        <v>103</v>
      </c>
      <c r="B119" s="6">
        <f t="shared" ref="B119:B120" si="55">A119</f>
        <v>103</v>
      </c>
      <c r="C119" s="19" t="s">
        <v>2449</v>
      </c>
      <c r="D119" s="8">
        <f t="shared" si="34"/>
        <v>2243098</v>
      </c>
      <c r="E119" s="1">
        <f t="shared" ref="E119:E120" si="56">SUM(F119:K119)</f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2">
        <v>0</v>
      </c>
      <c r="M119" s="1">
        <v>0</v>
      </c>
      <c r="N119" s="1">
        <v>0</v>
      </c>
      <c r="O119" s="1">
        <f t="shared" si="46"/>
        <v>0</v>
      </c>
      <c r="P119" s="1">
        <v>0</v>
      </c>
      <c r="Q119" s="1">
        <f t="shared" ref="Q119:Q120" si="57">P119*1400</f>
        <v>0</v>
      </c>
      <c r="R119" s="1">
        <v>598</v>
      </c>
      <c r="S119" s="1">
        <f t="shared" ref="S119:S120" si="58">R119*3751</f>
        <v>2243098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</row>
    <row r="120" spans="1:30" s="21" customFormat="1" ht="35.1" customHeight="1" x14ac:dyDescent="0.25">
      <c r="A120" s="2">
        <f t="shared" si="35"/>
        <v>104</v>
      </c>
      <c r="B120" s="6">
        <f t="shared" si="55"/>
        <v>104</v>
      </c>
      <c r="C120" s="19" t="s">
        <v>2450</v>
      </c>
      <c r="D120" s="8">
        <f t="shared" si="34"/>
        <v>2213090</v>
      </c>
      <c r="E120" s="1">
        <f t="shared" si="56"/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2">
        <v>0</v>
      </c>
      <c r="M120" s="1">
        <v>0</v>
      </c>
      <c r="N120" s="1">
        <v>0</v>
      </c>
      <c r="O120" s="1">
        <f t="shared" si="46"/>
        <v>0</v>
      </c>
      <c r="P120" s="1">
        <v>0</v>
      </c>
      <c r="Q120" s="1">
        <f t="shared" si="57"/>
        <v>0</v>
      </c>
      <c r="R120" s="1">
        <v>590</v>
      </c>
      <c r="S120" s="1">
        <f t="shared" si="58"/>
        <v>2213090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</row>
    <row r="121" spans="1:30" s="21" customFormat="1" ht="35.1" customHeight="1" x14ac:dyDescent="0.25">
      <c r="A121" s="2">
        <f t="shared" si="35"/>
        <v>105</v>
      </c>
      <c r="B121" s="6">
        <f t="shared" si="47"/>
        <v>105</v>
      </c>
      <c r="C121" s="19" t="s">
        <v>2451</v>
      </c>
      <c r="D121" s="8">
        <f t="shared" si="34"/>
        <v>1939267</v>
      </c>
      <c r="E121" s="1">
        <f t="shared" si="48"/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2">
        <v>0</v>
      </c>
      <c r="M121" s="1">
        <v>0</v>
      </c>
      <c r="N121" s="1">
        <v>0</v>
      </c>
      <c r="O121" s="1">
        <f t="shared" si="46"/>
        <v>0</v>
      </c>
      <c r="P121" s="1">
        <v>0</v>
      </c>
      <c r="Q121" s="1">
        <f t="shared" si="49"/>
        <v>0</v>
      </c>
      <c r="R121" s="1">
        <v>517</v>
      </c>
      <c r="S121" s="1">
        <f t="shared" si="50"/>
        <v>1939267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</row>
    <row r="122" spans="1:30" s="21" customFormat="1" ht="35.1" customHeight="1" x14ac:dyDescent="0.25">
      <c r="A122" s="2">
        <f t="shared" si="35"/>
        <v>106</v>
      </c>
      <c r="B122" s="6">
        <f t="shared" si="47"/>
        <v>106</v>
      </c>
      <c r="C122" s="19" t="s">
        <v>2452</v>
      </c>
      <c r="D122" s="8">
        <f t="shared" si="34"/>
        <v>1958022</v>
      </c>
      <c r="E122" s="1">
        <f t="shared" si="48"/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2">
        <v>0</v>
      </c>
      <c r="M122" s="1">
        <v>0</v>
      </c>
      <c r="N122" s="1">
        <v>0</v>
      </c>
      <c r="O122" s="1">
        <f t="shared" si="46"/>
        <v>0</v>
      </c>
      <c r="P122" s="1">
        <v>0</v>
      </c>
      <c r="Q122" s="1">
        <f t="shared" si="49"/>
        <v>0</v>
      </c>
      <c r="R122" s="1">
        <v>522</v>
      </c>
      <c r="S122" s="1">
        <f t="shared" si="50"/>
        <v>1958022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</row>
    <row r="123" spans="1:30" s="21" customFormat="1" ht="35.1" customHeight="1" x14ac:dyDescent="0.25">
      <c r="A123" s="2">
        <f t="shared" si="35"/>
        <v>107</v>
      </c>
      <c r="B123" s="6">
        <f t="shared" si="47"/>
        <v>107</v>
      </c>
      <c r="C123" s="19" t="s">
        <v>2453</v>
      </c>
      <c r="D123" s="8">
        <f t="shared" si="34"/>
        <v>3229200</v>
      </c>
      <c r="E123" s="1">
        <f t="shared" si="48"/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2">
        <v>0</v>
      </c>
      <c r="M123" s="1">
        <v>0</v>
      </c>
      <c r="N123" s="1">
        <v>650</v>
      </c>
      <c r="O123" s="1">
        <f>N123*4968</f>
        <v>3229200</v>
      </c>
      <c r="P123" s="1">
        <v>0</v>
      </c>
      <c r="Q123" s="1">
        <f t="shared" si="49"/>
        <v>0</v>
      </c>
      <c r="R123" s="1">
        <v>0</v>
      </c>
      <c r="S123" s="1">
        <f t="shared" si="50"/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</row>
    <row r="124" spans="1:30" s="21" customFormat="1" ht="35.1" customHeight="1" x14ac:dyDescent="0.25">
      <c r="A124" s="2">
        <f t="shared" si="35"/>
        <v>108</v>
      </c>
      <c r="B124" s="6">
        <f t="shared" si="47"/>
        <v>108</v>
      </c>
      <c r="C124" s="19" t="s">
        <v>2058</v>
      </c>
      <c r="D124" s="8">
        <f t="shared" si="34"/>
        <v>2766750</v>
      </c>
      <c r="E124" s="1">
        <f t="shared" si="48"/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2">
        <v>0</v>
      </c>
      <c r="M124" s="1">
        <v>0</v>
      </c>
      <c r="N124" s="1">
        <v>357</v>
      </c>
      <c r="O124" s="1">
        <f t="shared" si="46"/>
        <v>2766750</v>
      </c>
      <c r="P124" s="1">
        <v>0</v>
      </c>
      <c r="Q124" s="1">
        <f t="shared" si="49"/>
        <v>0</v>
      </c>
      <c r="R124" s="1">
        <v>0</v>
      </c>
      <c r="S124" s="1">
        <f t="shared" si="50"/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</row>
    <row r="125" spans="1:30" s="21" customFormat="1" ht="35.1" customHeight="1" x14ac:dyDescent="0.25">
      <c r="A125" s="2">
        <f t="shared" si="35"/>
        <v>109</v>
      </c>
      <c r="B125" s="6">
        <f t="shared" si="15"/>
        <v>109</v>
      </c>
      <c r="C125" s="19" t="s">
        <v>2059</v>
      </c>
      <c r="D125" s="8">
        <f t="shared" si="34"/>
        <v>7752406</v>
      </c>
      <c r="E125" s="1">
        <f t="shared" si="37"/>
        <v>2646306</v>
      </c>
      <c r="F125" s="1">
        <f>804*789</f>
        <v>634356</v>
      </c>
      <c r="G125" s="1">
        <f>1693*789</f>
        <v>1335777</v>
      </c>
      <c r="H125" s="1">
        <f>390*789</f>
        <v>307710</v>
      </c>
      <c r="I125" s="1">
        <v>0</v>
      </c>
      <c r="J125" s="1">
        <f>467*789</f>
        <v>368463</v>
      </c>
      <c r="K125" s="1">
        <v>0</v>
      </c>
      <c r="L125" s="2">
        <v>0</v>
      </c>
      <c r="M125" s="1">
        <v>0</v>
      </c>
      <c r="N125" s="1">
        <v>652.4</v>
      </c>
      <c r="O125" s="1">
        <f t="shared" si="46"/>
        <v>5056100</v>
      </c>
      <c r="P125" s="1">
        <v>0</v>
      </c>
      <c r="Q125" s="1">
        <f t="shared" si="39"/>
        <v>0</v>
      </c>
      <c r="R125" s="1">
        <v>0</v>
      </c>
      <c r="S125" s="1">
        <f t="shared" si="40"/>
        <v>0</v>
      </c>
      <c r="T125" s="1">
        <v>0</v>
      </c>
      <c r="U125" s="1">
        <v>50000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</row>
    <row r="126" spans="1:30" s="20" customFormat="1" ht="54.95" customHeight="1" x14ac:dyDescent="0.25">
      <c r="A126" s="3"/>
      <c r="B126" s="47" t="s">
        <v>1972</v>
      </c>
      <c r="C126" s="48"/>
      <c r="D126" s="4">
        <f>SUM(D127:D129)</f>
        <v>28062870</v>
      </c>
      <c r="E126" s="4">
        <f t="shared" ref="E126:AD126" si="59">SUM(E127:E129)</f>
        <v>1807168</v>
      </c>
      <c r="F126" s="4">
        <f t="shared" si="59"/>
        <v>874752</v>
      </c>
      <c r="G126" s="4">
        <f t="shared" si="59"/>
        <v>0</v>
      </c>
      <c r="H126" s="4">
        <f t="shared" si="59"/>
        <v>424320</v>
      </c>
      <c r="I126" s="4">
        <f t="shared" si="59"/>
        <v>0</v>
      </c>
      <c r="J126" s="4">
        <f t="shared" si="59"/>
        <v>508096</v>
      </c>
      <c r="K126" s="4">
        <f t="shared" si="59"/>
        <v>0</v>
      </c>
      <c r="L126" s="17">
        <f t="shared" si="59"/>
        <v>6</v>
      </c>
      <c r="M126" s="4">
        <f t="shared" si="59"/>
        <v>21000000</v>
      </c>
      <c r="N126" s="4">
        <f t="shared" si="59"/>
        <v>230</v>
      </c>
      <c r="O126" s="4">
        <f t="shared" si="59"/>
        <v>1782500</v>
      </c>
      <c r="P126" s="4">
        <f t="shared" si="59"/>
        <v>100</v>
      </c>
      <c r="Q126" s="4">
        <f t="shared" si="59"/>
        <v>140000</v>
      </c>
      <c r="R126" s="4">
        <f t="shared" si="59"/>
        <v>702</v>
      </c>
      <c r="S126" s="4">
        <f t="shared" si="59"/>
        <v>2633202</v>
      </c>
      <c r="T126" s="4">
        <f t="shared" si="59"/>
        <v>300000</v>
      </c>
      <c r="U126" s="4">
        <f t="shared" si="59"/>
        <v>300000</v>
      </c>
      <c r="V126" s="4">
        <f t="shared" si="59"/>
        <v>0</v>
      </c>
      <c r="W126" s="4">
        <f t="shared" si="59"/>
        <v>100000</v>
      </c>
      <c r="X126" s="4">
        <f t="shared" si="59"/>
        <v>0</v>
      </c>
      <c r="Y126" s="4">
        <f t="shared" si="59"/>
        <v>0</v>
      </c>
      <c r="Z126" s="4">
        <f t="shared" si="59"/>
        <v>0</v>
      </c>
      <c r="AA126" s="4">
        <f t="shared" si="59"/>
        <v>0</v>
      </c>
      <c r="AB126" s="4">
        <f t="shared" si="59"/>
        <v>0</v>
      </c>
      <c r="AC126" s="4">
        <f t="shared" si="59"/>
        <v>0</v>
      </c>
      <c r="AD126" s="4">
        <f t="shared" si="59"/>
        <v>0</v>
      </c>
    </row>
    <row r="127" spans="1:30" s="20" customFormat="1" ht="30" customHeight="1" x14ac:dyDescent="0.25">
      <c r="A127" s="2">
        <f>ROW()-ROW($A$11)-6</f>
        <v>110</v>
      </c>
      <c r="B127" s="6">
        <f>A127</f>
        <v>110</v>
      </c>
      <c r="C127" s="19" t="s">
        <v>2431</v>
      </c>
      <c r="D127" s="8">
        <f>E127+M127+O127+Q127+S127+T127+U127+V127+W127+X127+Z127+AA127+AB127+AC127+AD127</f>
        <v>21200000</v>
      </c>
      <c r="E127" s="1">
        <f>SUM(F127:K127)</f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2">
        <v>6</v>
      </c>
      <c r="M127" s="1">
        <f>L127*3500000</f>
        <v>21000000</v>
      </c>
      <c r="N127" s="1">
        <v>0</v>
      </c>
      <c r="O127" s="1">
        <v>0</v>
      </c>
      <c r="P127" s="1">
        <v>0</v>
      </c>
      <c r="Q127" s="1">
        <f>1400*P127</f>
        <v>0</v>
      </c>
      <c r="R127" s="1">
        <v>0</v>
      </c>
      <c r="S127" s="1">
        <f>R127*3751</f>
        <v>0</v>
      </c>
      <c r="T127" s="1">
        <v>0</v>
      </c>
      <c r="U127" s="1">
        <v>200000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</row>
    <row r="128" spans="1:30" s="21" customFormat="1" ht="35.1" customHeight="1" x14ac:dyDescent="0.25">
      <c r="A128" s="2">
        <f>ROW()-ROW($A$11)-6</f>
        <v>111</v>
      </c>
      <c r="B128" s="6">
        <f t="shared" si="15"/>
        <v>111</v>
      </c>
      <c r="C128" s="19" t="s">
        <v>85</v>
      </c>
      <c r="D128" s="8">
        <f>E128+M128+O128+Q128+S128+T128+U128+V128+W128+X128+Z128+AA128+AB128+AC128+AD128</f>
        <v>2799301</v>
      </c>
      <c r="E128" s="1">
        <f>SUM(F128:K128)</f>
        <v>1162700</v>
      </c>
      <c r="F128" s="1">
        <f>804*700</f>
        <v>562800</v>
      </c>
      <c r="G128" s="1">
        <v>0</v>
      </c>
      <c r="H128" s="1">
        <f>390*700</f>
        <v>273000</v>
      </c>
      <c r="I128" s="1">
        <v>0</v>
      </c>
      <c r="J128" s="1">
        <f>467*700</f>
        <v>326900</v>
      </c>
      <c r="K128" s="1">
        <v>0</v>
      </c>
      <c r="L128" s="2">
        <v>0</v>
      </c>
      <c r="M128" s="1">
        <v>0</v>
      </c>
      <c r="N128" s="1">
        <v>0</v>
      </c>
      <c r="O128" s="1">
        <v>0</v>
      </c>
      <c r="P128" s="1">
        <v>50</v>
      </c>
      <c r="Q128" s="1">
        <f>P128*1400</f>
        <v>70000</v>
      </c>
      <c r="R128" s="1">
        <v>351</v>
      </c>
      <c r="S128" s="1">
        <f>R128*3751</f>
        <v>1316601</v>
      </c>
      <c r="T128" s="1">
        <v>150000</v>
      </c>
      <c r="U128" s="1">
        <v>50000</v>
      </c>
      <c r="V128" s="1">
        <v>0</v>
      </c>
      <c r="W128" s="1">
        <v>50000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</row>
    <row r="129" spans="1:30" s="21" customFormat="1" ht="35.1" customHeight="1" x14ac:dyDescent="0.25">
      <c r="A129" s="2">
        <f>ROW()-ROW($A$11)-6</f>
        <v>112</v>
      </c>
      <c r="B129" s="6">
        <f t="shared" si="15"/>
        <v>112</v>
      </c>
      <c r="C129" s="19" t="s">
        <v>86</v>
      </c>
      <c r="D129" s="8">
        <f>E129+M129+O129+Q129+S129+T129+U129+V129+W129+X129+Z129+AA129+AB129+AC129+AD129</f>
        <v>4063569</v>
      </c>
      <c r="E129" s="1">
        <f>SUM(F129:K129)</f>
        <v>644468</v>
      </c>
      <c r="F129" s="1">
        <f>804*388</f>
        <v>311952</v>
      </c>
      <c r="G129" s="1">
        <v>0</v>
      </c>
      <c r="H129" s="1">
        <f>390*388</f>
        <v>151320</v>
      </c>
      <c r="I129" s="1">
        <v>0</v>
      </c>
      <c r="J129" s="1">
        <f>467*388</f>
        <v>181196</v>
      </c>
      <c r="K129" s="1">
        <v>0</v>
      </c>
      <c r="L129" s="2">
        <v>0</v>
      </c>
      <c r="M129" s="1">
        <v>0</v>
      </c>
      <c r="N129" s="26">
        <v>230</v>
      </c>
      <c r="O129" s="1">
        <f>N129*7750</f>
        <v>1782500</v>
      </c>
      <c r="P129" s="1">
        <v>50</v>
      </c>
      <c r="Q129" s="1">
        <f>P129*1400</f>
        <v>70000</v>
      </c>
      <c r="R129" s="1">
        <v>351</v>
      </c>
      <c r="S129" s="1">
        <f>R129*3751</f>
        <v>1316601</v>
      </c>
      <c r="T129" s="1">
        <v>150000</v>
      </c>
      <c r="U129" s="1">
        <v>50000</v>
      </c>
      <c r="V129" s="1">
        <v>0</v>
      </c>
      <c r="W129" s="1">
        <v>50000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</row>
    <row r="130" spans="1:30" s="20" customFormat="1" ht="54.95" customHeight="1" x14ac:dyDescent="0.25">
      <c r="A130" s="3"/>
      <c r="B130" s="47" t="s">
        <v>1973</v>
      </c>
      <c r="C130" s="48"/>
      <c r="D130" s="4">
        <f>SUM(D131:D147)</f>
        <v>103734814.7</v>
      </c>
      <c r="E130" s="4">
        <f t="shared" ref="E130:AD130" si="60">SUM(E131:E147)</f>
        <v>9628638.0999999996</v>
      </c>
      <c r="F130" s="4">
        <f t="shared" si="60"/>
        <v>6489646.7999999989</v>
      </c>
      <c r="G130" s="4">
        <f t="shared" si="60"/>
        <v>3138991.3000000003</v>
      </c>
      <c r="H130" s="4">
        <f t="shared" si="60"/>
        <v>0</v>
      </c>
      <c r="I130" s="4">
        <f t="shared" si="60"/>
        <v>0</v>
      </c>
      <c r="J130" s="4">
        <f t="shared" si="60"/>
        <v>0</v>
      </c>
      <c r="K130" s="4">
        <f t="shared" si="60"/>
        <v>0</v>
      </c>
      <c r="L130" s="17">
        <f t="shared" si="60"/>
        <v>0</v>
      </c>
      <c r="M130" s="4">
        <f t="shared" si="60"/>
        <v>0</v>
      </c>
      <c r="N130" s="4">
        <f t="shared" si="60"/>
        <v>8208.0999999999985</v>
      </c>
      <c r="O130" s="4">
        <f t="shared" si="60"/>
        <v>61484545</v>
      </c>
      <c r="P130" s="4">
        <f t="shared" si="60"/>
        <v>550</v>
      </c>
      <c r="Q130" s="4">
        <f t="shared" si="60"/>
        <v>770000</v>
      </c>
      <c r="R130" s="4">
        <f t="shared" si="60"/>
        <v>8131.6</v>
      </c>
      <c r="S130" s="4">
        <f t="shared" si="60"/>
        <v>30501631.600000001</v>
      </c>
      <c r="T130" s="4">
        <f t="shared" si="60"/>
        <v>0</v>
      </c>
      <c r="U130" s="4">
        <f t="shared" si="60"/>
        <v>700000</v>
      </c>
      <c r="V130" s="4">
        <f t="shared" si="60"/>
        <v>0</v>
      </c>
      <c r="W130" s="4">
        <f t="shared" si="60"/>
        <v>650000</v>
      </c>
      <c r="X130" s="4">
        <f t="shared" si="60"/>
        <v>0</v>
      </c>
      <c r="Y130" s="4">
        <f t="shared" si="60"/>
        <v>0</v>
      </c>
      <c r="Z130" s="4">
        <f t="shared" si="60"/>
        <v>0</v>
      </c>
      <c r="AA130" s="4">
        <f t="shared" si="60"/>
        <v>0</v>
      </c>
      <c r="AB130" s="4">
        <f t="shared" si="60"/>
        <v>0</v>
      </c>
      <c r="AC130" s="4">
        <f t="shared" si="60"/>
        <v>0</v>
      </c>
      <c r="AD130" s="4">
        <f t="shared" si="60"/>
        <v>0</v>
      </c>
    </row>
    <row r="131" spans="1:30" s="21" customFormat="1" ht="35.1" customHeight="1" x14ac:dyDescent="0.25">
      <c r="A131" s="2">
        <f>ROW()-ROW($A$11)-7</f>
        <v>113</v>
      </c>
      <c r="B131" s="6">
        <f t="shared" si="15"/>
        <v>113</v>
      </c>
      <c r="C131" s="24" t="s">
        <v>87</v>
      </c>
      <c r="D131" s="8">
        <f t="shared" ref="D131:D147" si="61">E131+M131+O131+Q131+S131+T131+U131+V131+W131+X131+Z131+AA131+AB131+AC131+AD131</f>
        <v>4599800</v>
      </c>
      <c r="E131" s="1">
        <f>SUM(F131:K131)</f>
        <v>289440</v>
      </c>
      <c r="F131" s="7">
        <f>804*360</f>
        <v>289440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2">
        <v>0</v>
      </c>
      <c r="M131" s="1">
        <v>0</v>
      </c>
      <c r="N131" s="1">
        <v>360</v>
      </c>
      <c r="O131" s="1">
        <f>N131*7750</f>
        <v>2790000</v>
      </c>
      <c r="P131" s="1">
        <v>50</v>
      </c>
      <c r="Q131" s="1">
        <f>P131*1400</f>
        <v>70000</v>
      </c>
      <c r="R131" s="1">
        <v>360</v>
      </c>
      <c r="S131" s="1">
        <f>R131*3751</f>
        <v>1350360</v>
      </c>
      <c r="T131" s="1">
        <v>0</v>
      </c>
      <c r="U131" s="1">
        <v>50000</v>
      </c>
      <c r="V131" s="1">
        <v>0</v>
      </c>
      <c r="W131" s="1">
        <v>50000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</row>
    <row r="132" spans="1:30" s="21" customFormat="1" ht="35.1" customHeight="1" x14ac:dyDescent="0.25">
      <c r="A132" s="2">
        <f t="shared" ref="A132:A147" si="62">ROW()-ROW($A$11)-7</f>
        <v>114</v>
      </c>
      <c r="B132" s="6">
        <f t="shared" si="15"/>
        <v>114</v>
      </c>
      <c r="C132" s="24" t="s">
        <v>88</v>
      </c>
      <c r="D132" s="8">
        <f t="shared" si="61"/>
        <v>2710776.4</v>
      </c>
      <c r="E132" s="1">
        <f t="shared" ref="E132:E147" si="63">SUM(F132:K132)</f>
        <v>250526.40000000002</v>
      </c>
      <c r="F132" s="7">
        <f>804*311.6</f>
        <v>250526.40000000002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2">
        <v>0</v>
      </c>
      <c r="M132" s="1">
        <v>0</v>
      </c>
      <c r="N132" s="1">
        <v>311</v>
      </c>
      <c r="O132" s="1">
        <f>N132*7750</f>
        <v>2410250</v>
      </c>
      <c r="P132" s="1">
        <v>0</v>
      </c>
      <c r="Q132" s="1">
        <f>P132*1400</f>
        <v>0</v>
      </c>
      <c r="R132" s="1">
        <v>0</v>
      </c>
      <c r="S132" s="1">
        <f t="shared" ref="S132:S147" si="64">R132*3751</f>
        <v>0</v>
      </c>
      <c r="T132" s="1">
        <v>0</v>
      </c>
      <c r="U132" s="1">
        <v>50000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</row>
    <row r="133" spans="1:30" s="21" customFormat="1" ht="35.1" customHeight="1" x14ac:dyDescent="0.25">
      <c r="A133" s="2">
        <f t="shared" si="62"/>
        <v>115</v>
      </c>
      <c r="B133" s="6">
        <f t="shared" si="15"/>
        <v>115</v>
      </c>
      <c r="C133" s="24" t="s">
        <v>89</v>
      </c>
      <c r="D133" s="8">
        <f t="shared" si="61"/>
        <v>13361014</v>
      </c>
      <c r="E133" s="1">
        <f t="shared" si="63"/>
        <v>1233979.2</v>
      </c>
      <c r="F133" s="7">
        <f>804*1534.8</f>
        <v>1233979.2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2">
        <v>0</v>
      </c>
      <c r="M133" s="1">
        <v>0</v>
      </c>
      <c r="N133" s="1">
        <v>800</v>
      </c>
      <c r="O133" s="1">
        <f>N133*7750</f>
        <v>6200000</v>
      </c>
      <c r="P133" s="1">
        <v>50</v>
      </c>
      <c r="Q133" s="1">
        <f>P133*1400</f>
        <v>70000</v>
      </c>
      <c r="R133" s="1">
        <v>1534.8</v>
      </c>
      <c r="S133" s="1">
        <f t="shared" si="64"/>
        <v>5757034.7999999998</v>
      </c>
      <c r="T133" s="1">
        <v>0</v>
      </c>
      <c r="U133" s="1">
        <v>50000</v>
      </c>
      <c r="V133" s="1">
        <v>0</v>
      </c>
      <c r="W133" s="1">
        <v>50000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</row>
    <row r="134" spans="1:30" s="20" customFormat="1" ht="36" customHeight="1" x14ac:dyDescent="0.25">
      <c r="A134" s="2">
        <f t="shared" si="62"/>
        <v>116</v>
      </c>
      <c r="B134" s="6">
        <f t="shared" ref="B134" si="65">A134</f>
        <v>116</v>
      </c>
      <c r="C134" s="24" t="s">
        <v>2063</v>
      </c>
      <c r="D134" s="8">
        <f t="shared" si="61"/>
        <v>3410000</v>
      </c>
      <c r="E134" s="1">
        <f t="shared" ref="E134" si="66">SUM(F134:K134)</f>
        <v>0</v>
      </c>
      <c r="F134" s="7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2">
        <v>0</v>
      </c>
      <c r="M134" s="1">
        <v>0</v>
      </c>
      <c r="N134" s="1">
        <v>440</v>
      </c>
      <c r="O134" s="1">
        <f>N134*7750</f>
        <v>3410000</v>
      </c>
      <c r="P134" s="1">
        <v>0</v>
      </c>
      <c r="Q134" s="1">
        <f t="shared" ref="Q134" si="67">P134*1400</f>
        <v>0</v>
      </c>
      <c r="R134" s="1">
        <v>0</v>
      </c>
      <c r="S134" s="1">
        <f t="shared" ref="S134" si="68">R134*3751</f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</row>
    <row r="135" spans="1:30" s="20" customFormat="1" ht="36" customHeight="1" x14ac:dyDescent="0.25">
      <c r="A135" s="2">
        <f t="shared" si="62"/>
        <v>117</v>
      </c>
      <c r="B135" s="6">
        <f t="shared" si="15"/>
        <v>117</v>
      </c>
      <c r="C135" s="24" t="s">
        <v>90</v>
      </c>
      <c r="D135" s="8">
        <f t="shared" si="61"/>
        <v>6337538</v>
      </c>
      <c r="E135" s="1">
        <f t="shared" si="63"/>
        <v>403286.4</v>
      </c>
      <c r="F135" s="7">
        <f>804*501.6</f>
        <v>403286.4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2">
        <v>0</v>
      </c>
      <c r="M135" s="1">
        <v>0</v>
      </c>
      <c r="N135" s="1">
        <v>501</v>
      </c>
      <c r="O135" s="1">
        <f>N135*7750</f>
        <v>3882750</v>
      </c>
      <c r="P135" s="1">
        <v>50</v>
      </c>
      <c r="Q135" s="1">
        <f t="shared" ref="Q135:Q147" si="69">P135*1400</f>
        <v>70000</v>
      </c>
      <c r="R135" s="1">
        <v>501.6</v>
      </c>
      <c r="S135" s="1">
        <f t="shared" si="64"/>
        <v>1881501.6</v>
      </c>
      <c r="T135" s="1">
        <v>0</v>
      </c>
      <c r="U135" s="1">
        <v>50000</v>
      </c>
      <c r="V135" s="1">
        <v>0</v>
      </c>
      <c r="W135" s="1">
        <v>50000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</row>
    <row r="136" spans="1:30" s="21" customFormat="1" ht="35.1" customHeight="1" x14ac:dyDescent="0.25">
      <c r="A136" s="2">
        <f t="shared" si="62"/>
        <v>118</v>
      </c>
      <c r="B136" s="6">
        <f t="shared" si="15"/>
        <v>118</v>
      </c>
      <c r="C136" s="24" t="s">
        <v>91</v>
      </c>
      <c r="D136" s="8">
        <f t="shared" si="61"/>
        <v>2172525</v>
      </c>
      <c r="E136" s="1">
        <f t="shared" si="63"/>
        <v>365820</v>
      </c>
      <c r="F136" s="7">
        <f>804*455</f>
        <v>365820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2">
        <v>0</v>
      </c>
      <c r="M136" s="1">
        <v>0</v>
      </c>
      <c r="N136" s="1">
        <v>0</v>
      </c>
      <c r="O136" s="1">
        <v>0</v>
      </c>
      <c r="P136" s="1">
        <v>0</v>
      </c>
      <c r="Q136" s="1">
        <f t="shared" si="69"/>
        <v>0</v>
      </c>
      <c r="R136" s="1">
        <v>455</v>
      </c>
      <c r="S136" s="1">
        <f t="shared" si="64"/>
        <v>1706705</v>
      </c>
      <c r="T136" s="1">
        <v>0</v>
      </c>
      <c r="U136" s="1">
        <v>50000</v>
      </c>
      <c r="V136" s="1">
        <v>0</v>
      </c>
      <c r="W136" s="1">
        <v>50000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</row>
    <row r="137" spans="1:30" s="21" customFormat="1" ht="35.1" customHeight="1" x14ac:dyDescent="0.25">
      <c r="A137" s="2">
        <f t="shared" si="62"/>
        <v>119</v>
      </c>
      <c r="B137" s="6">
        <f t="shared" si="15"/>
        <v>119</v>
      </c>
      <c r="C137" s="24" t="s">
        <v>92</v>
      </c>
      <c r="D137" s="8">
        <f t="shared" si="61"/>
        <v>2460624</v>
      </c>
      <c r="E137" s="1">
        <f t="shared" si="63"/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2">
        <v>0</v>
      </c>
      <c r="M137" s="1">
        <v>0</v>
      </c>
      <c r="N137" s="1">
        <v>0</v>
      </c>
      <c r="O137" s="1">
        <v>0</v>
      </c>
      <c r="P137" s="1">
        <v>50</v>
      </c>
      <c r="Q137" s="1">
        <f t="shared" si="69"/>
        <v>70000</v>
      </c>
      <c r="R137" s="1">
        <v>624</v>
      </c>
      <c r="S137" s="1">
        <f t="shared" si="64"/>
        <v>2340624</v>
      </c>
      <c r="T137" s="1">
        <v>0</v>
      </c>
      <c r="U137" s="1">
        <v>0</v>
      </c>
      <c r="V137" s="1">
        <v>0</v>
      </c>
      <c r="W137" s="1">
        <v>50000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</row>
    <row r="138" spans="1:30" s="21" customFormat="1" ht="35.1" customHeight="1" x14ac:dyDescent="0.25">
      <c r="A138" s="2">
        <f t="shared" si="62"/>
        <v>120</v>
      </c>
      <c r="B138" s="6">
        <f t="shared" si="15"/>
        <v>120</v>
      </c>
      <c r="C138" s="24" t="s">
        <v>93</v>
      </c>
      <c r="D138" s="8">
        <f t="shared" si="61"/>
        <v>5069890</v>
      </c>
      <c r="E138" s="1">
        <f t="shared" si="63"/>
        <v>299490</v>
      </c>
      <c r="F138" s="7">
        <f>804*372.5</f>
        <v>299490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2">
        <v>0</v>
      </c>
      <c r="M138" s="1">
        <v>0</v>
      </c>
      <c r="N138" s="1">
        <v>400</v>
      </c>
      <c r="O138" s="1">
        <f t="shared" ref="O138:O147" si="70">N138*7750</f>
        <v>3100000</v>
      </c>
      <c r="P138" s="1">
        <v>50</v>
      </c>
      <c r="Q138" s="1">
        <f t="shared" si="69"/>
        <v>70000</v>
      </c>
      <c r="R138" s="1">
        <v>400</v>
      </c>
      <c r="S138" s="1">
        <f t="shared" si="64"/>
        <v>1500400</v>
      </c>
      <c r="T138" s="1">
        <v>0</v>
      </c>
      <c r="U138" s="1">
        <v>50000</v>
      </c>
      <c r="V138" s="1">
        <v>0</v>
      </c>
      <c r="W138" s="1">
        <v>50000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</row>
    <row r="139" spans="1:30" s="20" customFormat="1" ht="36" customHeight="1" x14ac:dyDescent="0.25">
      <c r="A139" s="2">
        <f t="shared" si="62"/>
        <v>121</v>
      </c>
      <c r="B139" s="6">
        <f t="shared" ref="B139:B241" si="71">A139</f>
        <v>121</v>
      </c>
      <c r="C139" s="24" t="s">
        <v>94</v>
      </c>
      <c r="D139" s="8">
        <f t="shared" si="61"/>
        <v>8752876</v>
      </c>
      <c r="E139" s="1">
        <f t="shared" si="63"/>
        <v>565372.80000000005</v>
      </c>
      <c r="F139" s="27">
        <f>804*703.2</f>
        <v>565372.80000000005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2">
        <v>0</v>
      </c>
      <c r="M139" s="1">
        <v>0</v>
      </c>
      <c r="N139" s="1">
        <v>703.2</v>
      </c>
      <c r="O139" s="1">
        <f t="shared" si="70"/>
        <v>5449800</v>
      </c>
      <c r="P139" s="1">
        <v>0</v>
      </c>
      <c r="Q139" s="1">
        <f t="shared" si="69"/>
        <v>0</v>
      </c>
      <c r="R139" s="1">
        <v>703.2</v>
      </c>
      <c r="S139" s="1">
        <f t="shared" si="64"/>
        <v>2637703.2000000002</v>
      </c>
      <c r="T139" s="1">
        <v>0</v>
      </c>
      <c r="U139" s="1">
        <v>50000</v>
      </c>
      <c r="V139" s="1">
        <v>0</v>
      </c>
      <c r="W139" s="1">
        <v>50000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</row>
    <row r="140" spans="1:30" s="21" customFormat="1" ht="35.1" customHeight="1" x14ac:dyDescent="0.25">
      <c r="A140" s="2">
        <f t="shared" si="62"/>
        <v>122</v>
      </c>
      <c r="B140" s="6">
        <f t="shared" si="71"/>
        <v>122</v>
      </c>
      <c r="C140" s="24" t="s">
        <v>96</v>
      </c>
      <c r="D140" s="8">
        <f t="shared" si="61"/>
        <v>10100135</v>
      </c>
      <c r="E140" s="1">
        <f t="shared" si="63"/>
        <v>648828</v>
      </c>
      <c r="F140" s="7">
        <f>804*807</f>
        <v>648828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2">
        <v>0</v>
      </c>
      <c r="M140" s="1">
        <v>0</v>
      </c>
      <c r="N140" s="1">
        <v>807</v>
      </c>
      <c r="O140" s="1">
        <f t="shared" si="70"/>
        <v>6254250</v>
      </c>
      <c r="P140" s="1">
        <v>50</v>
      </c>
      <c r="Q140" s="1">
        <f t="shared" si="69"/>
        <v>70000</v>
      </c>
      <c r="R140" s="1">
        <v>807</v>
      </c>
      <c r="S140" s="1">
        <f t="shared" si="64"/>
        <v>3027057</v>
      </c>
      <c r="T140" s="1">
        <v>0</v>
      </c>
      <c r="U140" s="1">
        <v>50000</v>
      </c>
      <c r="V140" s="1">
        <v>0</v>
      </c>
      <c r="W140" s="1">
        <v>50000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</row>
    <row r="141" spans="1:30" s="21" customFormat="1" ht="35.1" customHeight="1" x14ac:dyDescent="0.25">
      <c r="A141" s="2">
        <f t="shared" si="62"/>
        <v>123</v>
      </c>
      <c r="B141" s="6">
        <f t="shared" si="71"/>
        <v>123</v>
      </c>
      <c r="C141" s="24" t="s">
        <v>97</v>
      </c>
      <c r="D141" s="8">
        <f t="shared" si="61"/>
        <v>9386445</v>
      </c>
      <c r="E141" s="1">
        <f t="shared" si="63"/>
        <v>602196</v>
      </c>
      <c r="F141" s="7">
        <f>804*749</f>
        <v>602196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2">
        <v>0</v>
      </c>
      <c r="M141" s="1">
        <v>0</v>
      </c>
      <c r="N141" s="1">
        <v>749</v>
      </c>
      <c r="O141" s="1">
        <f t="shared" si="70"/>
        <v>5804750</v>
      </c>
      <c r="P141" s="1">
        <v>50</v>
      </c>
      <c r="Q141" s="1">
        <f t="shared" si="69"/>
        <v>70000</v>
      </c>
      <c r="R141" s="1">
        <v>749</v>
      </c>
      <c r="S141" s="1">
        <f t="shared" si="64"/>
        <v>2809499</v>
      </c>
      <c r="T141" s="1">
        <v>0</v>
      </c>
      <c r="U141" s="1">
        <v>50000</v>
      </c>
      <c r="V141" s="1">
        <v>0</v>
      </c>
      <c r="W141" s="1">
        <v>50000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</row>
    <row r="142" spans="1:30" s="20" customFormat="1" ht="36" customHeight="1" x14ac:dyDescent="0.25">
      <c r="A142" s="2">
        <f t="shared" si="62"/>
        <v>124</v>
      </c>
      <c r="B142" s="6">
        <f t="shared" si="71"/>
        <v>124</v>
      </c>
      <c r="C142" s="24" t="s">
        <v>2064</v>
      </c>
      <c r="D142" s="8">
        <f t="shared" si="61"/>
        <v>3800520</v>
      </c>
      <c r="E142" s="1">
        <f t="shared" si="63"/>
        <v>0</v>
      </c>
      <c r="F142" s="7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2">
        <v>0</v>
      </c>
      <c r="M142" s="1">
        <v>0</v>
      </c>
      <c r="N142" s="1">
        <v>765</v>
      </c>
      <c r="O142" s="1">
        <f>N142*4968</f>
        <v>3800520</v>
      </c>
      <c r="P142" s="1">
        <v>0</v>
      </c>
      <c r="Q142" s="1">
        <f t="shared" si="69"/>
        <v>0</v>
      </c>
      <c r="R142" s="1">
        <v>0</v>
      </c>
      <c r="S142" s="1">
        <f t="shared" si="64"/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</row>
    <row r="143" spans="1:30" s="20" customFormat="1" ht="36" customHeight="1" x14ac:dyDescent="0.25">
      <c r="A143" s="2">
        <f t="shared" si="62"/>
        <v>125</v>
      </c>
      <c r="B143" s="6">
        <f t="shared" si="71"/>
        <v>125</v>
      </c>
      <c r="C143" s="24" t="s">
        <v>98</v>
      </c>
      <c r="D143" s="8">
        <f t="shared" si="61"/>
        <v>7613992.5999999996</v>
      </c>
      <c r="E143" s="1">
        <f t="shared" si="63"/>
        <v>923390.60000000009</v>
      </c>
      <c r="F143" s="7">
        <f>804*369.8</f>
        <v>297319.2</v>
      </c>
      <c r="G143" s="1">
        <f>1693*369.8</f>
        <v>626071.4</v>
      </c>
      <c r="H143" s="1">
        <v>0</v>
      </c>
      <c r="I143" s="1">
        <v>0</v>
      </c>
      <c r="J143" s="1">
        <v>0</v>
      </c>
      <c r="K143" s="1">
        <v>0</v>
      </c>
      <c r="L143" s="2">
        <v>0</v>
      </c>
      <c r="M143" s="1">
        <v>0</v>
      </c>
      <c r="N143" s="1">
        <v>550</v>
      </c>
      <c r="O143" s="1">
        <f t="shared" si="70"/>
        <v>4262500</v>
      </c>
      <c r="P143" s="1">
        <v>50</v>
      </c>
      <c r="Q143" s="1">
        <f t="shared" si="69"/>
        <v>70000</v>
      </c>
      <c r="R143" s="1">
        <v>602</v>
      </c>
      <c r="S143" s="1">
        <f t="shared" si="64"/>
        <v>2258102</v>
      </c>
      <c r="T143" s="1">
        <v>0</v>
      </c>
      <c r="U143" s="1">
        <v>50000</v>
      </c>
      <c r="V143" s="1">
        <v>0</v>
      </c>
      <c r="W143" s="1">
        <v>50000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</row>
    <row r="144" spans="1:30" s="20" customFormat="1" ht="36" customHeight="1" x14ac:dyDescent="0.25">
      <c r="A144" s="2">
        <f t="shared" si="62"/>
        <v>126</v>
      </c>
      <c r="B144" s="6">
        <f t="shared" ref="B144" si="72">A144</f>
        <v>126</v>
      </c>
      <c r="C144" s="24" t="s">
        <v>2065</v>
      </c>
      <c r="D144" s="8">
        <f t="shared" si="61"/>
        <v>3667486.6</v>
      </c>
      <c r="E144" s="1">
        <f t="shared" ref="E144" si="73">SUM(F144:K144)</f>
        <v>340011.6</v>
      </c>
      <c r="F144" s="7">
        <f>804*422.9</f>
        <v>340011.6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2">
        <v>0</v>
      </c>
      <c r="M144" s="1">
        <v>0</v>
      </c>
      <c r="N144" s="1">
        <v>422.9</v>
      </c>
      <c r="O144" s="1">
        <f>N144*7750</f>
        <v>3277475</v>
      </c>
      <c r="P144" s="1">
        <v>0</v>
      </c>
      <c r="Q144" s="1">
        <f t="shared" ref="Q144" si="74">P144*1400</f>
        <v>0</v>
      </c>
      <c r="R144" s="1">
        <v>0</v>
      </c>
      <c r="S144" s="1">
        <f t="shared" ref="S144" si="75">R144*3751</f>
        <v>0</v>
      </c>
      <c r="T144" s="1">
        <v>0</v>
      </c>
      <c r="U144" s="1">
        <v>50000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</row>
    <row r="145" spans="1:30" s="21" customFormat="1" ht="35.1" customHeight="1" x14ac:dyDescent="0.25">
      <c r="A145" s="2">
        <f t="shared" si="62"/>
        <v>127</v>
      </c>
      <c r="B145" s="6">
        <f t="shared" si="71"/>
        <v>127</v>
      </c>
      <c r="C145" s="24" t="s">
        <v>99</v>
      </c>
      <c r="D145" s="8">
        <f t="shared" si="61"/>
        <v>5832030.2999999998</v>
      </c>
      <c r="E145" s="1">
        <f t="shared" si="63"/>
        <v>938622.29999999993</v>
      </c>
      <c r="F145" s="7">
        <f>804*375.9</f>
        <v>302223.59999999998</v>
      </c>
      <c r="G145" s="1">
        <f>1693*375.9</f>
        <v>636398.69999999995</v>
      </c>
      <c r="H145" s="1">
        <v>0</v>
      </c>
      <c r="I145" s="1">
        <v>0</v>
      </c>
      <c r="J145" s="1">
        <v>0</v>
      </c>
      <c r="K145" s="1">
        <v>0</v>
      </c>
      <c r="L145" s="2">
        <v>0</v>
      </c>
      <c r="M145" s="1">
        <v>0</v>
      </c>
      <c r="N145" s="1">
        <v>412</v>
      </c>
      <c r="O145" s="1">
        <f t="shared" si="70"/>
        <v>3193000</v>
      </c>
      <c r="P145" s="1">
        <v>50</v>
      </c>
      <c r="Q145" s="1">
        <f t="shared" si="69"/>
        <v>70000</v>
      </c>
      <c r="R145" s="1">
        <v>408</v>
      </c>
      <c r="S145" s="1">
        <f t="shared" si="64"/>
        <v>1530408</v>
      </c>
      <c r="T145" s="1">
        <v>0</v>
      </c>
      <c r="U145" s="1">
        <v>50000</v>
      </c>
      <c r="V145" s="1">
        <v>0</v>
      </c>
      <c r="W145" s="1">
        <v>50000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</row>
    <row r="146" spans="1:30" s="21" customFormat="1" ht="35.1" customHeight="1" x14ac:dyDescent="0.25">
      <c r="A146" s="2">
        <f t="shared" si="62"/>
        <v>128</v>
      </c>
      <c r="B146" s="6">
        <f t="shared" si="71"/>
        <v>128</v>
      </c>
      <c r="C146" s="24" t="s">
        <v>100</v>
      </c>
      <c r="D146" s="8">
        <f t="shared" si="61"/>
        <v>7301840.4000000004</v>
      </c>
      <c r="E146" s="1">
        <f t="shared" si="63"/>
        <v>1381340.4000000001</v>
      </c>
      <c r="F146" s="7">
        <f>804*553.2</f>
        <v>444772.80000000005</v>
      </c>
      <c r="G146" s="1">
        <f>1693*553.2</f>
        <v>936567.60000000009</v>
      </c>
      <c r="H146" s="1">
        <v>0</v>
      </c>
      <c r="I146" s="1">
        <v>0</v>
      </c>
      <c r="J146" s="1">
        <v>0</v>
      </c>
      <c r="K146" s="1">
        <v>0</v>
      </c>
      <c r="L146" s="2">
        <v>0</v>
      </c>
      <c r="M146" s="1">
        <v>0</v>
      </c>
      <c r="N146" s="1">
        <v>500</v>
      </c>
      <c r="O146" s="1">
        <f t="shared" si="70"/>
        <v>3875000</v>
      </c>
      <c r="P146" s="1">
        <v>50</v>
      </c>
      <c r="Q146" s="1">
        <f t="shared" si="69"/>
        <v>70000</v>
      </c>
      <c r="R146" s="1">
        <v>500</v>
      </c>
      <c r="S146" s="1">
        <f t="shared" si="64"/>
        <v>1875500</v>
      </c>
      <c r="T146" s="1">
        <v>0</v>
      </c>
      <c r="U146" s="1">
        <v>50000</v>
      </c>
      <c r="V146" s="1">
        <v>0</v>
      </c>
      <c r="W146" s="1">
        <v>50000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</row>
    <row r="147" spans="1:30" s="21" customFormat="1" ht="35.1" customHeight="1" x14ac:dyDescent="0.25">
      <c r="A147" s="2">
        <f t="shared" si="62"/>
        <v>129</v>
      </c>
      <c r="B147" s="6">
        <f t="shared" si="71"/>
        <v>129</v>
      </c>
      <c r="C147" s="24" t="s">
        <v>101</v>
      </c>
      <c r="D147" s="8">
        <f t="shared" si="61"/>
        <v>7157321.4000000004</v>
      </c>
      <c r="E147" s="1">
        <f t="shared" si="63"/>
        <v>1386334.4000000001</v>
      </c>
      <c r="F147" s="7">
        <f>804*555.2</f>
        <v>446380.80000000005</v>
      </c>
      <c r="G147" s="1">
        <f>1693*555.2</f>
        <v>939953.60000000009</v>
      </c>
      <c r="H147" s="1">
        <v>0</v>
      </c>
      <c r="I147" s="1">
        <v>0</v>
      </c>
      <c r="J147" s="1">
        <v>0</v>
      </c>
      <c r="K147" s="1">
        <v>0</v>
      </c>
      <c r="L147" s="2">
        <v>0</v>
      </c>
      <c r="M147" s="1">
        <v>0</v>
      </c>
      <c r="N147" s="1">
        <v>487</v>
      </c>
      <c r="O147" s="1">
        <f t="shared" si="70"/>
        <v>3774250</v>
      </c>
      <c r="P147" s="1">
        <v>50</v>
      </c>
      <c r="Q147" s="1">
        <f t="shared" si="69"/>
        <v>70000</v>
      </c>
      <c r="R147" s="1">
        <v>487</v>
      </c>
      <c r="S147" s="1">
        <f t="shared" si="64"/>
        <v>1826737</v>
      </c>
      <c r="T147" s="1">
        <v>0</v>
      </c>
      <c r="U147" s="1">
        <v>50000</v>
      </c>
      <c r="V147" s="1">
        <v>0</v>
      </c>
      <c r="W147" s="1">
        <v>50000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</row>
    <row r="148" spans="1:30" s="20" customFormat="1" ht="54.95" customHeight="1" x14ac:dyDescent="0.25">
      <c r="A148" s="3"/>
      <c r="B148" s="47" t="s">
        <v>1974</v>
      </c>
      <c r="C148" s="48"/>
      <c r="D148" s="4">
        <f>SUM(D149:D152)</f>
        <v>27870539.920000002</v>
      </c>
      <c r="E148" s="4">
        <f t="shared" ref="E148:AD148" si="76">SUM(E149:E152)</f>
        <v>3097200.2600000002</v>
      </c>
      <c r="F148" s="4">
        <f t="shared" si="76"/>
        <v>1499186.64</v>
      </c>
      <c r="G148" s="4">
        <f t="shared" si="76"/>
        <v>0</v>
      </c>
      <c r="H148" s="4">
        <f t="shared" si="76"/>
        <v>727217.4</v>
      </c>
      <c r="I148" s="4">
        <f t="shared" si="76"/>
        <v>0</v>
      </c>
      <c r="J148" s="4">
        <f t="shared" si="76"/>
        <v>870796.22</v>
      </c>
      <c r="K148" s="4">
        <f t="shared" si="76"/>
        <v>0</v>
      </c>
      <c r="L148" s="17">
        <f t="shared" si="76"/>
        <v>0</v>
      </c>
      <c r="M148" s="4">
        <f t="shared" si="76"/>
        <v>0</v>
      </c>
      <c r="N148" s="4">
        <f t="shared" si="76"/>
        <v>2156</v>
      </c>
      <c r="O148" s="4">
        <f t="shared" si="76"/>
        <v>16709000</v>
      </c>
      <c r="P148" s="4">
        <f t="shared" si="76"/>
        <v>50</v>
      </c>
      <c r="Q148" s="4">
        <f t="shared" si="76"/>
        <v>70000</v>
      </c>
      <c r="R148" s="4">
        <f t="shared" si="76"/>
        <v>1864.66</v>
      </c>
      <c r="S148" s="4">
        <f t="shared" si="76"/>
        <v>6994339.6600000001</v>
      </c>
      <c r="T148" s="4">
        <f t="shared" si="76"/>
        <v>600000</v>
      </c>
      <c r="U148" s="4">
        <f t="shared" si="76"/>
        <v>200000</v>
      </c>
      <c r="V148" s="4">
        <f t="shared" si="76"/>
        <v>0</v>
      </c>
      <c r="W148" s="4">
        <f t="shared" si="76"/>
        <v>200000</v>
      </c>
      <c r="X148" s="4">
        <f t="shared" si="76"/>
        <v>0</v>
      </c>
      <c r="Y148" s="4">
        <f t="shared" si="76"/>
        <v>0</v>
      </c>
      <c r="Z148" s="4">
        <f t="shared" si="76"/>
        <v>0</v>
      </c>
      <c r="AA148" s="4">
        <f t="shared" si="76"/>
        <v>0</v>
      </c>
      <c r="AB148" s="4">
        <f t="shared" si="76"/>
        <v>0</v>
      </c>
      <c r="AC148" s="4">
        <f t="shared" si="76"/>
        <v>0</v>
      </c>
      <c r="AD148" s="4">
        <f t="shared" si="76"/>
        <v>0</v>
      </c>
    </row>
    <row r="149" spans="1:30" s="20" customFormat="1" ht="36" customHeight="1" x14ac:dyDescent="0.25">
      <c r="A149" s="2">
        <f>ROW()-ROW($A$11)-8</f>
        <v>130</v>
      </c>
      <c r="B149" s="6">
        <f t="shared" si="71"/>
        <v>130</v>
      </c>
      <c r="C149" s="28" t="s">
        <v>102</v>
      </c>
      <c r="D149" s="4">
        <f>E149+M149+O149+Q149+S149+T149+U149+V149+W149+X149+Z149+AA149+AB149+AC149+AD149</f>
        <v>7638072</v>
      </c>
      <c r="E149" s="1">
        <f>SUM(F149:K149)</f>
        <v>923516</v>
      </c>
      <c r="F149" s="7">
        <f>804*556</f>
        <v>447024</v>
      </c>
      <c r="G149" s="1">
        <v>0</v>
      </c>
      <c r="H149" s="7">
        <f>390*556</f>
        <v>216840</v>
      </c>
      <c r="I149" s="1">
        <v>0</v>
      </c>
      <c r="J149" s="7">
        <f>467*556</f>
        <v>259652</v>
      </c>
      <c r="K149" s="1">
        <v>0</v>
      </c>
      <c r="L149" s="2">
        <v>0</v>
      </c>
      <c r="M149" s="1">
        <v>0</v>
      </c>
      <c r="N149" s="1">
        <v>556</v>
      </c>
      <c r="O149" s="1">
        <f>N149*7750</f>
        <v>4309000</v>
      </c>
      <c r="P149" s="1">
        <v>50</v>
      </c>
      <c r="Q149" s="1">
        <f>P149*1400</f>
        <v>70000</v>
      </c>
      <c r="R149" s="1">
        <v>556</v>
      </c>
      <c r="S149" s="1">
        <f>R149*3751</f>
        <v>2085556</v>
      </c>
      <c r="T149" s="1">
        <v>150000</v>
      </c>
      <c r="U149" s="1">
        <v>50000</v>
      </c>
      <c r="V149" s="1">
        <v>0</v>
      </c>
      <c r="W149" s="1">
        <v>50000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</row>
    <row r="150" spans="1:30" s="20" customFormat="1" ht="36" customHeight="1" x14ac:dyDescent="0.25">
      <c r="A150" s="2">
        <f t="shared" ref="A150:A152" si="77">ROW()-ROW($A$11)-8</f>
        <v>131</v>
      </c>
      <c r="B150" s="6">
        <f t="shared" si="71"/>
        <v>131</v>
      </c>
      <c r="C150" s="28" t="s">
        <v>103</v>
      </c>
      <c r="D150" s="4">
        <f>E150+M150+O150+Q150+S150+T150+U150+V150+W150+X150+Z150+AA150+AB150+AC150+AD150</f>
        <v>6831000</v>
      </c>
      <c r="E150" s="1">
        <f>SUM(F150:K150)</f>
        <v>830500</v>
      </c>
      <c r="F150" s="7">
        <f>804*500</f>
        <v>402000</v>
      </c>
      <c r="G150" s="1">
        <v>0</v>
      </c>
      <c r="H150" s="7">
        <f>390*500</f>
        <v>195000</v>
      </c>
      <c r="I150" s="1">
        <v>0</v>
      </c>
      <c r="J150" s="7">
        <f>467*500</f>
        <v>233500</v>
      </c>
      <c r="K150" s="1">
        <v>0</v>
      </c>
      <c r="L150" s="2">
        <v>0</v>
      </c>
      <c r="M150" s="1">
        <v>0</v>
      </c>
      <c r="N150" s="1">
        <v>500</v>
      </c>
      <c r="O150" s="1">
        <f>N150*7750</f>
        <v>3875000</v>
      </c>
      <c r="P150" s="1">
        <v>0</v>
      </c>
      <c r="Q150" s="1">
        <f>P150*1400</f>
        <v>0</v>
      </c>
      <c r="R150" s="1">
        <v>500</v>
      </c>
      <c r="S150" s="1">
        <f>R150*3751</f>
        <v>1875500</v>
      </c>
      <c r="T150" s="1">
        <v>150000</v>
      </c>
      <c r="U150" s="1">
        <v>50000</v>
      </c>
      <c r="V150" s="1">
        <v>0</v>
      </c>
      <c r="W150" s="1">
        <v>50000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</row>
    <row r="151" spans="1:30" s="20" customFormat="1" ht="36" customHeight="1" x14ac:dyDescent="0.25">
      <c r="A151" s="2">
        <f t="shared" si="77"/>
        <v>132</v>
      </c>
      <c r="B151" s="6">
        <f t="shared" si="71"/>
        <v>132</v>
      </c>
      <c r="C151" s="28" t="s">
        <v>104</v>
      </c>
      <c r="D151" s="4">
        <f>E151+M151+O151+Q151+S151+T151+U151+V151+W151+X151+Z151+AA151+AB151+AC151+AD151</f>
        <v>6620041.04</v>
      </c>
      <c r="E151" s="1">
        <f>SUM(F151:K151)</f>
        <v>646826.62</v>
      </c>
      <c r="F151" s="7">
        <f>804*389.42</f>
        <v>313093.68</v>
      </c>
      <c r="G151" s="1">
        <v>0</v>
      </c>
      <c r="H151" s="7">
        <f>390*389.42</f>
        <v>151873.80000000002</v>
      </c>
      <c r="I151" s="1">
        <v>0</v>
      </c>
      <c r="J151" s="1">
        <f>467*389.42</f>
        <v>181859.14</v>
      </c>
      <c r="K151" s="1">
        <v>0</v>
      </c>
      <c r="L151" s="2">
        <v>0</v>
      </c>
      <c r="M151" s="1">
        <v>0</v>
      </c>
      <c r="N151" s="1">
        <v>550</v>
      </c>
      <c r="O151" s="1">
        <f>N151*7750</f>
        <v>4262500</v>
      </c>
      <c r="P151" s="1">
        <v>0</v>
      </c>
      <c r="Q151" s="1">
        <f>P151*1400</f>
        <v>0</v>
      </c>
      <c r="R151" s="1">
        <v>389.42</v>
      </c>
      <c r="S151" s="1">
        <f>R151*3751</f>
        <v>1460714.4200000002</v>
      </c>
      <c r="T151" s="1">
        <v>150000</v>
      </c>
      <c r="U151" s="1">
        <v>50000</v>
      </c>
      <c r="V151" s="1">
        <v>0</v>
      </c>
      <c r="W151" s="1">
        <v>50000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</row>
    <row r="152" spans="1:30" s="20" customFormat="1" ht="36" customHeight="1" x14ac:dyDescent="0.25">
      <c r="A152" s="2">
        <f t="shared" si="77"/>
        <v>133</v>
      </c>
      <c r="B152" s="6">
        <f t="shared" si="71"/>
        <v>133</v>
      </c>
      <c r="C152" s="28" t="s">
        <v>105</v>
      </c>
      <c r="D152" s="4">
        <f>E152+M152+O152+Q152+S152+T152+U152+V152+W152+X152+Z152+AA152+AB152+AC152+AD152</f>
        <v>6781426.8800000008</v>
      </c>
      <c r="E152" s="1">
        <f>SUM(F152:K152)</f>
        <v>696357.64000000013</v>
      </c>
      <c r="F152" s="7">
        <f>804*419.24</f>
        <v>337068.96</v>
      </c>
      <c r="G152" s="1">
        <v>0</v>
      </c>
      <c r="H152" s="7">
        <f>390*419.24</f>
        <v>163503.6</v>
      </c>
      <c r="I152" s="1">
        <v>0</v>
      </c>
      <c r="J152" s="1">
        <f>467*419.24</f>
        <v>195785.08000000002</v>
      </c>
      <c r="K152" s="1">
        <v>0</v>
      </c>
      <c r="L152" s="2">
        <v>0</v>
      </c>
      <c r="M152" s="1">
        <v>0</v>
      </c>
      <c r="N152" s="1">
        <v>550</v>
      </c>
      <c r="O152" s="1">
        <f>N152*7750</f>
        <v>4262500</v>
      </c>
      <c r="P152" s="1">
        <v>0</v>
      </c>
      <c r="Q152" s="1">
        <f>P152*1400</f>
        <v>0</v>
      </c>
      <c r="R152" s="1">
        <v>419.24</v>
      </c>
      <c r="S152" s="1">
        <f>R152*3751</f>
        <v>1572569.24</v>
      </c>
      <c r="T152" s="1">
        <v>150000</v>
      </c>
      <c r="U152" s="1">
        <v>50000</v>
      </c>
      <c r="V152" s="1">
        <v>0</v>
      </c>
      <c r="W152" s="1">
        <v>50000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</row>
    <row r="153" spans="1:30" s="20" customFormat="1" ht="54.95" customHeight="1" x14ac:dyDescent="0.25">
      <c r="A153" s="3"/>
      <c r="B153" s="47" t="s">
        <v>1995</v>
      </c>
      <c r="C153" s="48"/>
      <c r="D153" s="4">
        <f>SUM(D154:D155)</f>
        <v>10428163</v>
      </c>
      <c r="E153" s="4">
        <f t="shared" ref="E153:AD153" si="78">SUM(E154:E155)</f>
        <v>740886</v>
      </c>
      <c r="F153" s="4">
        <f t="shared" si="78"/>
        <v>740886</v>
      </c>
      <c r="G153" s="4">
        <f t="shared" si="78"/>
        <v>0</v>
      </c>
      <c r="H153" s="4">
        <f t="shared" si="78"/>
        <v>0</v>
      </c>
      <c r="I153" s="4">
        <f t="shared" si="78"/>
        <v>0</v>
      </c>
      <c r="J153" s="4">
        <f t="shared" si="78"/>
        <v>0</v>
      </c>
      <c r="K153" s="4">
        <f t="shared" si="78"/>
        <v>0</v>
      </c>
      <c r="L153" s="17">
        <f t="shared" si="78"/>
        <v>0</v>
      </c>
      <c r="M153" s="4">
        <f t="shared" si="78"/>
        <v>0</v>
      </c>
      <c r="N153" s="4">
        <f t="shared" si="78"/>
        <v>812.6</v>
      </c>
      <c r="O153" s="4">
        <f t="shared" si="78"/>
        <v>6297650</v>
      </c>
      <c r="P153" s="4">
        <f t="shared" si="78"/>
        <v>0</v>
      </c>
      <c r="Q153" s="4">
        <f t="shared" si="78"/>
        <v>0</v>
      </c>
      <c r="R153" s="4">
        <f t="shared" si="78"/>
        <v>877</v>
      </c>
      <c r="S153" s="4">
        <f t="shared" si="78"/>
        <v>3289627</v>
      </c>
      <c r="T153" s="4">
        <f t="shared" si="78"/>
        <v>0</v>
      </c>
      <c r="U153" s="4">
        <f t="shared" si="78"/>
        <v>100000</v>
      </c>
      <c r="V153" s="4">
        <f t="shared" si="78"/>
        <v>0</v>
      </c>
      <c r="W153" s="4">
        <f t="shared" si="78"/>
        <v>0</v>
      </c>
      <c r="X153" s="4">
        <f t="shared" si="78"/>
        <v>0</v>
      </c>
      <c r="Y153" s="4">
        <f t="shared" si="78"/>
        <v>0</v>
      </c>
      <c r="Z153" s="4">
        <f t="shared" si="78"/>
        <v>0</v>
      </c>
      <c r="AA153" s="4">
        <f t="shared" si="78"/>
        <v>0</v>
      </c>
      <c r="AB153" s="4">
        <f t="shared" si="78"/>
        <v>0</v>
      </c>
      <c r="AC153" s="4">
        <f t="shared" si="78"/>
        <v>0</v>
      </c>
      <c r="AD153" s="4">
        <f t="shared" si="78"/>
        <v>0</v>
      </c>
    </row>
    <row r="154" spans="1:30" s="20" customFormat="1" ht="36" customHeight="1" x14ac:dyDescent="0.25">
      <c r="A154" s="2">
        <f>ROW()-ROW($A$11)-9</f>
        <v>134</v>
      </c>
      <c r="B154" s="6">
        <f t="shared" ref="B154" si="79">A154</f>
        <v>134</v>
      </c>
      <c r="C154" s="19" t="s">
        <v>2067</v>
      </c>
      <c r="D154" s="4">
        <f>E154+M154+O154+Q154+S154+T154+U154+V154+W154+X154+Z154+AA154+AB154+AC154+AD154</f>
        <v>5522596.2000000002</v>
      </c>
      <c r="E154" s="1">
        <f t="shared" ref="E154" si="80">SUM(F154:K154)</f>
        <v>404251.2</v>
      </c>
      <c r="F154" s="1">
        <f>804*502.8</f>
        <v>404251.2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2">
        <v>0</v>
      </c>
      <c r="M154" s="1">
        <v>0</v>
      </c>
      <c r="N154" s="1">
        <v>438.6</v>
      </c>
      <c r="O154" s="1">
        <f>N154*7750</f>
        <v>3399150</v>
      </c>
      <c r="P154" s="1">
        <v>0</v>
      </c>
      <c r="Q154" s="1">
        <f t="shared" ref="Q154" si="81">P154*1400</f>
        <v>0</v>
      </c>
      <c r="R154" s="1">
        <v>445</v>
      </c>
      <c r="S154" s="1">
        <f t="shared" ref="S154" si="82">R154*3751</f>
        <v>1669195</v>
      </c>
      <c r="T154" s="1">
        <v>0</v>
      </c>
      <c r="U154" s="1">
        <v>50000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</row>
    <row r="155" spans="1:30" s="20" customFormat="1" ht="36" customHeight="1" x14ac:dyDescent="0.25">
      <c r="A155" s="2">
        <f>ROW()-ROW($A$11)-9</f>
        <v>135</v>
      </c>
      <c r="B155" s="6">
        <f t="shared" ref="B155" si="83">A155</f>
        <v>135</v>
      </c>
      <c r="C155" s="19" t="s">
        <v>2066</v>
      </c>
      <c r="D155" s="4">
        <f>E155+M155+O155+Q155+S155+T155+U155+V155+W155+X155+Z155+AA155+AB155+AC155+AD155</f>
        <v>4905566.8</v>
      </c>
      <c r="E155" s="1">
        <f t="shared" ref="E155" si="84">SUM(F155:K155)</f>
        <v>336634.8</v>
      </c>
      <c r="F155" s="1">
        <f>804*418.7</f>
        <v>336634.8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2">
        <v>0</v>
      </c>
      <c r="M155" s="1">
        <v>0</v>
      </c>
      <c r="N155" s="1">
        <v>374</v>
      </c>
      <c r="O155" s="1">
        <f>N155*7750</f>
        <v>2898500</v>
      </c>
      <c r="P155" s="1">
        <v>0</v>
      </c>
      <c r="Q155" s="1">
        <f t="shared" ref="Q155" si="85">P155*1400</f>
        <v>0</v>
      </c>
      <c r="R155" s="1">
        <v>432</v>
      </c>
      <c r="S155" s="1">
        <f t="shared" ref="S155" si="86">R155*3751</f>
        <v>1620432</v>
      </c>
      <c r="T155" s="1">
        <v>0</v>
      </c>
      <c r="U155" s="1">
        <v>50000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</row>
    <row r="156" spans="1:30" s="20" customFormat="1" ht="54.95" customHeight="1" x14ac:dyDescent="0.25">
      <c r="A156" s="3"/>
      <c r="B156" s="47" t="s">
        <v>1975</v>
      </c>
      <c r="C156" s="48"/>
      <c r="D156" s="4">
        <f>SUM(D157:D165)</f>
        <v>36884019.699999996</v>
      </c>
      <c r="E156" s="4">
        <f t="shared" ref="E156:AD156" si="87">SUM(E157:E165)</f>
        <v>4750799.7</v>
      </c>
      <c r="F156" s="4">
        <f t="shared" si="87"/>
        <v>2205211.1999999997</v>
      </c>
      <c r="G156" s="4">
        <f t="shared" si="87"/>
        <v>967380.2</v>
      </c>
      <c r="H156" s="4">
        <f t="shared" si="87"/>
        <v>1069692</v>
      </c>
      <c r="I156" s="4">
        <f t="shared" si="87"/>
        <v>0</v>
      </c>
      <c r="J156" s="4">
        <f t="shared" si="87"/>
        <v>508516.3</v>
      </c>
      <c r="K156" s="4">
        <f t="shared" si="87"/>
        <v>0</v>
      </c>
      <c r="L156" s="17">
        <f t="shared" si="87"/>
        <v>0</v>
      </c>
      <c r="M156" s="4">
        <f t="shared" si="87"/>
        <v>0</v>
      </c>
      <c r="N156" s="4">
        <f t="shared" si="87"/>
        <v>3249.7999999999997</v>
      </c>
      <c r="O156" s="4">
        <f t="shared" si="87"/>
        <v>24031420</v>
      </c>
      <c r="P156" s="4">
        <f t="shared" si="87"/>
        <v>0</v>
      </c>
      <c r="Q156" s="4">
        <f t="shared" si="87"/>
        <v>0</v>
      </c>
      <c r="R156" s="4">
        <f t="shared" si="87"/>
        <v>1800</v>
      </c>
      <c r="S156" s="4">
        <f t="shared" si="87"/>
        <v>6751800</v>
      </c>
      <c r="T156" s="4">
        <f t="shared" si="87"/>
        <v>750000</v>
      </c>
      <c r="U156" s="4">
        <f t="shared" si="87"/>
        <v>300000</v>
      </c>
      <c r="V156" s="4">
        <f t="shared" si="87"/>
        <v>0</v>
      </c>
      <c r="W156" s="4">
        <f t="shared" si="87"/>
        <v>300000</v>
      </c>
      <c r="X156" s="4">
        <f t="shared" si="87"/>
        <v>0</v>
      </c>
      <c r="Y156" s="4">
        <f t="shared" si="87"/>
        <v>0</v>
      </c>
      <c r="Z156" s="4">
        <f t="shared" si="87"/>
        <v>0</v>
      </c>
      <c r="AA156" s="4">
        <f t="shared" si="87"/>
        <v>0</v>
      </c>
      <c r="AB156" s="4">
        <f t="shared" si="87"/>
        <v>0</v>
      </c>
      <c r="AC156" s="4">
        <f t="shared" si="87"/>
        <v>0</v>
      </c>
      <c r="AD156" s="4">
        <f t="shared" si="87"/>
        <v>0</v>
      </c>
    </row>
    <row r="157" spans="1:30" s="20" customFormat="1" ht="36" customHeight="1" x14ac:dyDescent="0.25">
      <c r="A157" s="2">
        <f>ROW()-ROW($A$11)-10</f>
        <v>136</v>
      </c>
      <c r="B157" s="6">
        <f t="shared" ref="B157" si="88">A157</f>
        <v>136</v>
      </c>
      <c r="C157" s="19" t="s">
        <v>2073</v>
      </c>
      <c r="D157" s="4">
        <f t="shared" ref="D157:D165" si="89">E157+M157+O157+Q157+S157+T157+U157+V157+W157+X157+Z157+AA157+AB157+AC157+AD157</f>
        <v>2557500</v>
      </c>
      <c r="E157" s="1">
        <f t="shared" ref="E157" si="90">SUM(F157:K157)</f>
        <v>0</v>
      </c>
      <c r="F157" s="7">
        <v>0</v>
      </c>
      <c r="G157" s="7">
        <v>0</v>
      </c>
      <c r="H157" s="7">
        <v>0</v>
      </c>
      <c r="I157" s="1">
        <v>0</v>
      </c>
      <c r="J157" s="7">
        <v>0</v>
      </c>
      <c r="K157" s="1">
        <v>0</v>
      </c>
      <c r="L157" s="2">
        <v>0</v>
      </c>
      <c r="M157" s="1">
        <v>0</v>
      </c>
      <c r="N157" s="1">
        <v>330</v>
      </c>
      <c r="O157" s="1">
        <f>N157*7750</f>
        <v>2557500</v>
      </c>
      <c r="P157" s="1">
        <v>0</v>
      </c>
      <c r="Q157" s="1">
        <f t="shared" ref="Q157" si="91">P157*1400</f>
        <v>0</v>
      </c>
      <c r="R157" s="1">
        <v>0</v>
      </c>
      <c r="S157" s="1">
        <f t="shared" ref="S157" si="92">R157*3751</f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</row>
    <row r="158" spans="1:30" s="20" customFormat="1" ht="36" customHeight="1" x14ac:dyDescent="0.25">
      <c r="A158" s="2">
        <f t="shared" ref="A158:A165" si="93">ROW()-ROW($A$11)-10</f>
        <v>137</v>
      </c>
      <c r="B158" s="6">
        <f t="shared" ref="B158" si="94">A158</f>
        <v>137</v>
      </c>
      <c r="C158" s="19" t="s">
        <v>2074</v>
      </c>
      <c r="D158" s="4">
        <f t="shared" si="89"/>
        <v>2712500</v>
      </c>
      <c r="E158" s="1">
        <f t="shared" ref="E158" si="95">SUM(F158:K158)</f>
        <v>0</v>
      </c>
      <c r="F158" s="7">
        <v>0</v>
      </c>
      <c r="G158" s="7">
        <v>0</v>
      </c>
      <c r="H158" s="7">
        <v>0</v>
      </c>
      <c r="I158" s="1">
        <v>0</v>
      </c>
      <c r="J158" s="7">
        <v>0</v>
      </c>
      <c r="K158" s="1">
        <v>0</v>
      </c>
      <c r="L158" s="2">
        <v>0</v>
      </c>
      <c r="M158" s="1">
        <v>0</v>
      </c>
      <c r="N158" s="1">
        <v>350</v>
      </c>
      <c r="O158" s="1">
        <f>N158*7750</f>
        <v>2712500</v>
      </c>
      <c r="P158" s="1">
        <v>0</v>
      </c>
      <c r="Q158" s="1">
        <f t="shared" ref="Q158" si="96">P158*1400</f>
        <v>0</v>
      </c>
      <c r="R158" s="1">
        <v>0</v>
      </c>
      <c r="S158" s="1">
        <f t="shared" ref="S158" si="97">R158*3751</f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</row>
    <row r="159" spans="1:30" s="20" customFormat="1" ht="36" customHeight="1" x14ac:dyDescent="0.25">
      <c r="A159" s="2">
        <f t="shared" si="93"/>
        <v>138</v>
      </c>
      <c r="B159" s="6">
        <f t="shared" si="71"/>
        <v>138</v>
      </c>
      <c r="C159" s="19" t="s">
        <v>106</v>
      </c>
      <c r="D159" s="4">
        <f t="shared" si="89"/>
        <v>7369825.5999999996</v>
      </c>
      <c r="E159" s="1">
        <f t="shared" ref="E159:E165" si="98">SUM(F159:K159)</f>
        <v>1916475.5999999999</v>
      </c>
      <c r="F159" s="1">
        <f>804*571.4</f>
        <v>459405.6</v>
      </c>
      <c r="G159" s="1">
        <f>1693*571.4</f>
        <v>967380.2</v>
      </c>
      <c r="H159" s="1">
        <f>390*571.4</f>
        <v>222846</v>
      </c>
      <c r="I159" s="1">
        <v>0</v>
      </c>
      <c r="J159" s="1">
        <f>467*571.4</f>
        <v>266843.8</v>
      </c>
      <c r="K159" s="1">
        <v>0</v>
      </c>
      <c r="L159" s="2">
        <v>0</v>
      </c>
      <c r="M159" s="1">
        <v>0</v>
      </c>
      <c r="N159" s="1">
        <v>671.4</v>
      </c>
      <c r="O159" s="1">
        <f>N159*7750</f>
        <v>5203350</v>
      </c>
      <c r="P159" s="1">
        <v>0</v>
      </c>
      <c r="Q159" s="1">
        <f t="shared" ref="Q159:Q165" si="99">P159*1400</f>
        <v>0</v>
      </c>
      <c r="R159" s="1">
        <v>0</v>
      </c>
      <c r="S159" s="1">
        <f t="shared" ref="S159:S165" si="100">R159*3751</f>
        <v>0</v>
      </c>
      <c r="T159" s="1">
        <v>150000</v>
      </c>
      <c r="U159" s="1">
        <v>50000</v>
      </c>
      <c r="V159" s="1">
        <v>0</v>
      </c>
      <c r="W159" s="1">
        <v>50000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</row>
    <row r="160" spans="1:30" s="20" customFormat="1" ht="36" customHeight="1" x14ac:dyDescent="0.25">
      <c r="A160" s="2">
        <f t="shared" si="93"/>
        <v>139</v>
      </c>
      <c r="B160" s="6">
        <f t="shared" si="71"/>
        <v>139</v>
      </c>
      <c r="C160" s="24" t="s">
        <v>107</v>
      </c>
      <c r="D160" s="4">
        <f t="shared" si="89"/>
        <v>583211.80000000005</v>
      </c>
      <c r="E160" s="1">
        <f t="shared" si="98"/>
        <v>483211.8</v>
      </c>
      <c r="F160" s="7">
        <f>804*404.7</f>
        <v>325378.8</v>
      </c>
      <c r="G160" s="7">
        <v>0</v>
      </c>
      <c r="H160" s="7">
        <f>390*404.7</f>
        <v>157833</v>
      </c>
      <c r="I160" s="1">
        <v>0</v>
      </c>
      <c r="J160" s="7">
        <v>0</v>
      </c>
      <c r="K160" s="1">
        <v>0</v>
      </c>
      <c r="L160" s="2">
        <v>0</v>
      </c>
      <c r="M160" s="1">
        <v>0</v>
      </c>
      <c r="N160" s="1">
        <v>0</v>
      </c>
      <c r="O160" s="1">
        <v>0</v>
      </c>
      <c r="P160" s="1">
        <v>0</v>
      </c>
      <c r="Q160" s="1">
        <f t="shared" si="99"/>
        <v>0</v>
      </c>
      <c r="R160" s="1">
        <v>0</v>
      </c>
      <c r="S160" s="1">
        <f t="shared" si="100"/>
        <v>0</v>
      </c>
      <c r="T160" s="1">
        <v>0</v>
      </c>
      <c r="U160" s="1">
        <v>50000</v>
      </c>
      <c r="V160" s="1">
        <v>0</v>
      </c>
      <c r="W160" s="1">
        <v>50000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</row>
    <row r="161" spans="1:30" s="20" customFormat="1" ht="36" customHeight="1" x14ac:dyDescent="0.25">
      <c r="A161" s="2">
        <f t="shared" si="93"/>
        <v>140</v>
      </c>
      <c r="B161" s="6">
        <f t="shared" si="71"/>
        <v>140</v>
      </c>
      <c r="C161" s="19" t="s">
        <v>108</v>
      </c>
      <c r="D161" s="4">
        <f t="shared" si="89"/>
        <v>7926467.5</v>
      </c>
      <c r="E161" s="1">
        <f t="shared" si="98"/>
        <v>859567.5</v>
      </c>
      <c r="F161" s="7">
        <f>804*517.5</f>
        <v>416070</v>
      </c>
      <c r="G161" s="7">
        <v>0</v>
      </c>
      <c r="H161" s="7">
        <f>390*517.5</f>
        <v>201825</v>
      </c>
      <c r="I161" s="1">
        <v>0</v>
      </c>
      <c r="J161" s="7">
        <f>467*517.5</f>
        <v>241672.5</v>
      </c>
      <c r="K161" s="1">
        <v>0</v>
      </c>
      <c r="L161" s="2">
        <v>0</v>
      </c>
      <c r="M161" s="1">
        <v>0</v>
      </c>
      <c r="N161" s="1">
        <v>661.8</v>
      </c>
      <c r="O161" s="1">
        <f>N161*7750</f>
        <v>5128950</v>
      </c>
      <c r="P161" s="1">
        <v>0</v>
      </c>
      <c r="Q161" s="1">
        <f t="shared" si="99"/>
        <v>0</v>
      </c>
      <c r="R161" s="1">
        <v>450</v>
      </c>
      <c r="S161" s="1">
        <f t="shared" si="100"/>
        <v>1687950</v>
      </c>
      <c r="T161" s="1">
        <v>150000</v>
      </c>
      <c r="U161" s="1">
        <v>50000</v>
      </c>
      <c r="V161" s="1">
        <v>0</v>
      </c>
      <c r="W161" s="1">
        <v>50000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</row>
    <row r="162" spans="1:30" s="20" customFormat="1" ht="36" customHeight="1" x14ac:dyDescent="0.25">
      <c r="A162" s="2">
        <f t="shared" si="93"/>
        <v>141</v>
      </c>
      <c r="B162" s="6">
        <f t="shared" ref="B162" si="101">A162</f>
        <v>141</v>
      </c>
      <c r="C162" s="19" t="s">
        <v>2069</v>
      </c>
      <c r="D162" s="4">
        <f t="shared" si="89"/>
        <v>2061720</v>
      </c>
      <c r="E162" s="1">
        <f t="shared" ref="E162" si="102">SUM(F162:K162)</f>
        <v>0</v>
      </c>
      <c r="F162" s="7">
        <v>0</v>
      </c>
      <c r="G162" s="7">
        <v>0</v>
      </c>
      <c r="H162" s="7">
        <v>0</v>
      </c>
      <c r="I162" s="1">
        <v>0</v>
      </c>
      <c r="J162" s="7">
        <v>0</v>
      </c>
      <c r="K162" s="1">
        <v>0</v>
      </c>
      <c r="L162" s="2">
        <v>0</v>
      </c>
      <c r="M162" s="1">
        <v>0</v>
      </c>
      <c r="N162" s="1">
        <v>415</v>
      </c>
      <c r="O162" s="1">
        <f>N162*4968</f>
        <v>2061720</v>
      </c>
      <c r="P162" s="1">
        <v>0</v>
      </c>
      <c r="Q162" s="1">
        <f t="shared" ref="Q162" si="103">P162*1400</f>
        <v>0</v>
      </c>
      <c r="R162" s="1">
        <v>0</v>
      </c>
      <c r="S162" s="1">
        <f t="shared" ref="S162" si="104">R162*3751</f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</row>
    <row r="163" spans="1:30" s="20" customFormat="1" ht="36" customHeight="1" x14ac:dyDescent="0.25">
      <c r="A163" s="2">
        <f t="shared" si="93"/>
        <v>142</v>
      </c>
      <c r="B163" s="6">
        <f t="shared" si="71"/>
        <v>142</v>
      </c>
      <c r="C163" s="19" t="s">
        <v>109</v>
      </c>
      <c r="D163" s="4">
        <f t="shared" si="89"/>
        <v>2448504.4</v>
      </c>
      <c r="E163" s="1">
        <f t="shared" si="98"/>
        <v>510554.4</v>
      </c>
      <c r="F163" s="7">
        <f>804*427.6</f>
        <v>343790.4</v>
      </c>
      <c r="G163" s="7">
        <v>0</v>
      </c>
      <c r="H163" s="7">
        <f>390*427.6</f>
        <v>166764</v>
      </c>
      <c r="I163" s="1">
        <v>0</v>
      </c>
      <c r="J163" s="7">
        <v>0</v>
      </c>
      <c r="K163" s="1">
        <v>0</v>
      </c>
      <c r="L163" s="2">
        <v>0</v>
      </c>
      <c r="M163" s="1">
        <v>0</v>
      </c>
      <c r="N163" s="1">
        <v>0</v>
      </c>
      <c r="O163" s="1">
        <v>0</v>
      </c>
      <c r="P163" s="1">
        <v>0</v>
      </c>
      <c r="Q163" s="1">
        <f t="shared" si="99"/>
        <v>0</v>
      </c>
      <c r="R163" s="1">
        <v>450</v>
      </c>
      <c r="S163" s="1">
        <f t="shared" si="100"/>
        <v>1687950</v>
      </c>
      <c r="T163" s="1">
        <v>150000</v>
      </c>
      <c r="U163" s="1">
        <v>50000</v>
      </c>
      <c r="V163" s="1">
        <v>0</v>
      </c>
      <c r="W163" s="1">
        <v>50000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</row>
    <row r="164" spans="1:30" s="20" customFormat="1" ht="36" customHeight="1" x14ac:dyDescent="0.25">
      <c r="A164" s="2">
        <f t="shared" si="93"/>
        <v>143</v>
      </c>
      <c r="B164" s="6">
        <f t="shared" si="71"/>
        <v>143</v>
      </c>
      <c r="C164" s="19" t="s">
        <v>110</v>
      </c>
      <c r="D164" s="4">
        <f t="shared" si="89"/>
        <v>5596940.4000000004</v>
      </c>
      <c r="E164" s="1">
        <f t="shared" si="98"/>
        <v>488465.4</v>
      </c>
      <c r="F164" s="7">
        <f>804*409.1</f>
        <v>328916.40000000002</v>
      </c>
      <c r="G164" s="7">
        <v>0</v>
      </c>
      <c r="H164" s="7">
        <f>390*409.1</f>
        <v>159549</v>
      </c>
      <c r="I164" s="1">
        <v>0</v>
      </c>
      <c r="J164" s="7">
        <v>0</v>
      </c>
      <c r="K164" s="1">
        <v>0</v>
      </c>
      <c r="L164" s="2">
        <v>0</v>
      </c>
      <c r="M164" s="1">
        <v>0</v>
      </c>
      <c r="N164" s="1">
        <v>409.1</v>
      </c>
      <c r="O164" s="1">
        <f>N164*7750</f>
        <v>3170525</v>
      </c>
      <c r="P164" s="1">
        <v>0</v>
      </c>
      <c r="Q164" s="1">
        <f t="shared" si="99"/>
        <v>0</v>
      </c>
      <c r="R164" s="1">
        <v>450</v>
      </c>
      <c r="S164" s="1">
        <f t="shared" si="100"/>
        <v>1687950</v>
      </c>
      <c r="T164" s="1">
        <v>150000</v>
      </c>
      <c r="U164" s="1">
        <v>50000</v>
      </c>
      <c r="V164" s="1">
        <v>0</v>
      </c>
      <c r="W164" s="1">
        <v>50000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</row>
    <row r="165" spans="1:30" s="20" customFormat="1" ht="36" customHeight="1" x14ac:dyDescent="0.25">
      <c r="A165" s="2">
        <f t="shared" si="93"/>
        <v>144</v>
      </c>
      <c r="B165" s="6">
        <f t="shared" si="71"/>
        <v>144</v>
      </c>
      <c r="C165" s="19" t="s">
        <v>111</v>
      </c>
      <c r="D165" s="4">
        <f t="shared" si="89"/>
        <v>5627350</v>
      </c>
      <c r="E165" s="1">
        <f t="shared" si="98"/>
        <v>492525</v>
      </c>
      <c r="F165" s="7">
        <f>804*412.5</f>
        <v>331650</v>
      </c>
      <c r="G165" s="7">
        <v>0</v>
      </c>
      <c r="H165" s="7">
        <f>390*412.5</f>
        <v>160875</v>
      </c>
      <c r="I165" s="1">
        <v>0</v>
      </c>
      <c r="J165" s="7">
        <v>0</v>
      </c>
      <c r="K165" s="1">
        <v>0</v>
      </c>
      <c r="L165" s="2">
        <v>0</v>
      </c>
      <c r="M165" s="1">
        <v>0</v>
      </c>
      <c r="N165" s="1">
        <v>412.5</v>
      </c>
      <c r="O165" s="1">
        <f>N165*7750</f>
        <v>3196875</v>
      </c>
      <c r="P165" s="1">
        <v>0</v>
      </c>
      <c r="Q165" s="1">
        <f t="shared" si="99"/>
        <v>0</v>
      </c>
      <c r="R165" s="1">
        <v>450</v>
      </c>
      <c r="S165" s="1">
        <f t="shared" si="100"/>
        <v>1687950</v>
      </c>
      <c r="T165" s="1">
        <v>150000</v>
      </c>
      <c r="U165" s="1">
        <v>50000</v>
      </c>
      <c r="V165" s="1">
        <v>0</v>
      </c>
      <c r="W165" s="1">
        <v>50000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</row>
    <row r="166" spans="1:30" s="20" customFormat="1" ht="54.95" customHeight="1" x14ac:dyDescent="0.25">
      <c r="A166" s="3"/>
      <c r="B166" s="47" t="s">
        <v>1976</v>
      </c>
      <c r="C166" s="48"/>
      <c r="D166" s="4">
        <f>SUM(D167:D179)</f>
        <v>71891933.719999999</v>
      </c>
      <c r="E166" s="4">
        <f t="shared" ref="E166:AD166" si="105">SUM(E167:E179)</f>
        <v>10723617.6</v>
      </c>
      <c r="F166" s="4">
        <f t="shared" si="105"/>
        <v>5363081.9999999991</v>
      </c>
      <c r="G166" s="4">
        <f t="shared" si="105"/>
        <v>1198982.6000000001</v>
      </c>
      <c r="H166" s="4">
        <f t="shared" si="105"/>
        <v>1966653</v>
      </c>
      <c r="I166" s="4">
        <f t="shared" si="105"/>
        <v>330729.40000000002</v>
      </c>
      <c r="J166" s="4">
        <f t="shared" si="105"/>
        <v>1864170.6</v>
      </c>
      <c r="K166" s="4">
        <f t="shared" si="105"/>
        <v>0</v>
      </c>
      <c r="L166" s="17">
        <f t="shared" si="105"/>
        <v>0</v>
      </c>
      <c r="M166" s="4">
        <f t="shared" si="105"/>
        <v>0</v>
      </c>
      <c r="N166" s="4">
        <f t="shared" si="105"/>
        <v>5376.59</v>
      </c>
      <c r="O166" s="4">
        <f t="shared" si="105"/>
        <v>41668572.5</v>
      </c>
      <c r="P166" s="4">
        <f t="shared" si="105"/>
        <v>0</v>
      </c>
      <c r="Q166" s="4">
        <f t="shared" si="105"/>
        <v>0</v>
      </c>
      <c r="R166" s="4">
        <f t="shared" si="105"/>
        <v>4918.62</v>
      </c>
      <c r="S166" s="4">
        <f t="shared" si="105"/>
        <v>18449743.620000001</v>
      </c>
      <c r="T166" s="4">
        <f t="shared" si="105"/>
        <v>150000</v>
      </c>
      <c r="U166" s="4">
        <f t="shared" si="105"/>
        <v>500000</v>
      </c>
      <c r="V166" s="4">
        <f t="shared" si="105"/>
        <v>0</v>
      </c>
      <c r="W166" s="4">
        <f t="shared" si="105"/>
        <v>400000</v>
      </c>
      <c r="X166" s="4">
        <f t="shared" si="105"/>
        <v>0</v>
      </c>
      <c r="Y166" s="4">
        <f t="shared" si="105"/>
        <v>0</v>
      </c>
      <c r="Z166" s="4">
        <f t="shared" si="105"/>
        <v>0</v>
      </c>
      <c r="AA166" s="4">
        <f t="shared" si="105"/>
        <v>0</v>
      </c>
      <c r="AB166" s="4">
        <f t="shared" si="105"/>
        <v>0</v>
      </c>
      <c r="AC166" s="4">
        <f t="shared" si="105"/>
        <v>0</v>
      </c>
      <c r="AD166" s="4">
        <f t="shared" si="105"/>
        <v>0</v>
      </c>
    </row>
    <row r="167" spans="1:30" s="20" customFormat="1" ht="36" customHeight="1" x14ac:dyDescent="0.25">
      <c r="A167" s="2">
        <f>ROW()-ROW($A$11)-11</f>
        <v>145</v>
      </c>
      <c r="B167" s="6">
        <f t="shared" si="71"/>
        <v>145</v>
      </c>
      <c r="C167" s="19" t="s">
        <v>112</v>
      </c>
      <c r="D167" s="4">
        <f t="shared" ref="D167:D179" si="106">E167+M167+O167+Q167+S167+T167+U167+V167+W167+X167+Z167+AA167+AB167+AC167+AD167</f>
        <v>4901130.4000000004</v>
      </c>
      <c r="E167" s="1">
        <f>SUM(F167:K167)</f>
        <v>425880.39999999997</v>
      </c>
      <c r="F167" s="1">
        <f>804*256.4</f>
        <v>206145.59999999998</v>
      </c>
      <c r="G167" s="1">
        <v>0</v>
      </c>
      <c r="H167" s="1">
        <f>390*256.4</f>
        <v>99995.999999999985</v>
      </c>
      <c r="I167" s="1">
        <v>0</v>
      </c>
      <c r="J167" s="1">
        <f>467*256.4</f>
        <v>119738.79999999999</v>
      </c>
      <c r="K167" s="1">
        <v>0</v>
      </c>
      <c r="L167" s="2">
        <v>0</v>
      </c>
      <c r="M167" s="1">
        <v>0</v>
      </c>
      <c r="N167" s="1">
        <v>450</v>
      </c>
      <c r="O167" s="1">
        <f t="shared" ref="O167:O173" si="107">N167*7750</f>
        <v>3487500</v>
      </c>
      <c r="P167" s="1">
        <v>0</v>
      </c>
      <c r="Q167" s="1">
        <f>P167*1400</f>
        <v>0</v>
      </c>
      <c r="R167" s="1">
        <v>250</v>
      </c>
      <c r="S167" s="1">
        <f>R167*3751</f>
        <v>937750</v>
      </c>
      <c r="T167" s="1">
        <v>0</v>
      </c>
      <c r="U167" s="1">
        <v>0</v>
      </c>
      <c r="V167" s="1">
        <v>0</v>
      </c>
      <c r="W167" s="1">
        <v>50000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</row>
    <row r="168" spans="1:30" s="20" customFormat="1" ht="36" customHeight="1" x14ac:dyDescent="0.25">
      <c r="A168" s="2">
        <f t="shared" ref="A168:A179" si="108">ROW()-ROW($A$11)-11</f>
        <v>146</v>
      </c>
      <c r="B168" s="6">
        <f t="shared" si="71"/>
        <v>146</v>
      </c>
      <c r="C168" s="19" t="s">
        <v>113</v>
      </c>
      <c r="D168" s="4">
        <f t="shared" si="106"/>
        <v>3660186.4</v>
      </c>
      <c r="E168" s="1">
        <f t="shared" ref="E168:E179" si="109">SUM(F168:K168)</f>
        <v>282686.40000000002</v>
      </c>
      <c r="F168" s="1">
        <f>804*351.6</f>
        <v>282686.40000000002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2">
        <v>0</v>
      </c>
      <c r="M168" s="1">
        <v>0</v>
      </c>
      <c r="N168" s="1">
        <v>289</v>
      </c>
      <c r="O168" s="1">
        <f t="shared" si="107"/>
        <v>2239750</v>
      </c>
      <c r="P168" s="1">
        <v>0</v>
      </c>
      <c r="Q168" s="1">
        <f t="shared" ref="Q168:Q179" si="110">P168*1400</f>
        <v>0</v>
      </c>
      <c r="R168" s="1">
        <v>250</v>
      </c>
      <c r="S168" s="1">
        <f t="shared" ref="S168:S179" si="111">R168*3751</f>
        <v>937750</v>
      </c>
      <c r="T168" s="1">
        <v>150000</v>
      </c>
      <c r="U168" s="1">
        <v>50000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</row>
    <row r="169" spans="1:30" s="20" customFormat="1" ht="36" customHeight="1" x14ac:dyDescent="0.25">
      <c r="A169" s="2">
        <f t="shared" si="108"/>
        <v>147</v>
      </c>
      <c r="B169" s="6">
        <f t="shared" si="71"/>
        <v>147</v>
      </c>
      <c r="C169" s="19" t="s">
        <v>114</v>
      </c>
      <c r="D169" s="4">
        <f t="shared" si="106"/>
        <v>4683058.8</v>
      </c>
      <c r="E169" s="1">
        <f t="shared" si="109"/>
        <v>357538.8</v>
      </c>
      <c r="F169" s="1">
        <f>804*444.7</f>
        <v>357538.8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2">
        <v>0</v>
      </c>
      <c r="M169" s="1">
        <v>0</v>
      </c>
      <c r="N169" s="1">
        <v>300</v>
      </c>
      <c r="O169" s="1">
        <f t="shared" si="107"/>
        <v>2325000</v>
      </c>
      <c r="P169" s="1">
        <v>0</v>
      </c>
      <c r="Q169" s="1">
        <f t="shared" si="110"/>
        <v>0</v>
      </c>
      <c r="R169" s="1">
        <v>520</v>
      </c>
      <c r="S169" s="1">
        <f t="shared" si="111"/>
        <v>1950520</v>
      </c>
      <c r="T169" s="1">
        <v>0</v>
      </c>
      <c r="U169" s="1">
        <v>50000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</row>
    <row r="170" spans="1:30" s="20" customFormat="1" ht="36" customHeight="1" x14ac:dyDescent="0.25">
      <c r="A170" s="2">
        <f t="shared" si="108"/>
        <v>148</v>
      </c>
      <c r="B170" s="6">
        <f t="shared" si="71"/>
        <v>148</v>
      </c>
      <c r="C170" s="19" t="s">
        <v>2077</v>
      </c>
      <c r="D170" s="4">
        <f t="shared" si="106"/>
        <v>3744363.2</v>
      </c>
      <c r="E170" s="1">
        <f t="shared" ref="E170" si="112">SUM(F170:K170)</f>
        <v>346363.2</v>
      </c>
      <c r="F170" s="7">
        <f>804*430.8</f>
        <v>346363.2</v>
      </c>
      <c r="G170" s="7">
        <v>0</v>
      </c>
      <c r="H170" s="7">
        <v>0</v>
      </c>
      <c r="I170" s="1">
        <v>0</v>
      </c>
      <c r="J170" s="7">
        <v>0</v>
      </c>
      <c r="K170" s="1">
        <v>0</v>
      </c>
      <c r="L170" s="2">
        <v>0</v>
      </c>
      <c r="M170" s="1">
        <v>0</v>
      </c>
      <c r="N170" s="1">
        <v>432</v>
      </c>
      <c r="O170" s="1">
        <f t="shared" si="107"/>
        <v>3348000</v>
      </c>
      <c r="P170" s="1">
        <v>0</v>
      </c>
      <c r="Q170" s="1">
        <f t="shared" si="110"/>
        <v>0</v>
      </c>
      <c r="R170" s="1">
        <v>0</v>
      </c>
      <c r="S170" s="1">
        <f t="shared" si="111"/>
        <v>0</v>
      </c>
      <c r="T170" s="1">
        <v>0</v>
      </c>
      <c r="U170" s="1">
        <v>50000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</row>
    <row r="171" spans="1:30" s="20" customFormat="1" ht="36" customHeight="1" x14ac:dyDescent="0.25">
      <c r="A171" s="2">
        <f t="shared" si="108"/>
        <v>149</v>
      </c>
      <c r="B171" s="2">
        <f t="shared" ref="B171" si="113">A171</f>
        <v>149</v>
      </c>
      <c r="C171" s="19" t="s">
        <v>2078</v>
      </c>
      <c r="D171" s="39">
        <f t="shared" si="106"/>
        <v>2938710.7</v>
      </c>
      <c r="E171" s="1">
        <f t="shared" ref="E171" si="114">SUM(F171:K171)</f>
        <v>695460.7</v>
      </c>
      <c r="F171" s="7">
        <f>804*418.7</f>
        <v>336634.8</v>
      </c>
      <c r="G171" s="7">
        <v>0</v>
      </c>
      <c r="H171" s="7">
        <f>390*418.7</f>
        <v>163293</v>
      </c>
      <c r="I171" s="1">
        <v>0</v>
      </c>
      <c r="J171" s="7">
        <f>467*418.7</f>
        <v>195532.9</v>
      </c>
      <c r="K171" s="1">
        <v>0</v>
      </c>
      <c r="L171" s="2">
        <v>0</v>
      </c>
      <c r="M171" s="1">
        <v>0</v>
      </c>
      <c r="N171" s="1">
        <v>283</v>
      </c>
      <c r="O171" s="1">
        <f t="shared" si="107"/>
        <v>2193250</v>
      </c>
      <c r="P171" s="1">
        <v>0</v>
      </c>
      <c r="Q171" s="1">
        <f t="shared" ref="Q171" si="115">P171*1400</f>
        <v>0</v>
      </c>
      <c r="R171" s="1">
        <v>0</v>
      </c>
      <c r="S171" s="1">
        <f t="shared" ref="S171" si="116">R171*3751</f>
        <v>0</v>
      </c>
      <c r="T171" s="1">
        <v>0</v>
      </c>
      <c r="U171" s="1">
        <v>50000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</row>
    <row r="172" spans="1:30" s="20" customFormat="1" ht="36" customHeight="1" x14ac:dyDescent="0.25">
      <c r="A172" s="2">
        <f t="shared" si="108"/>
        <v>150</v>
      </c>
      <c r="B172" s="2">
        <f t="shared" si="71"/>
        <v>150</v>
      </c>
      <c r="C172" s="19" t="s">
        <v>1808</v>
      </c>
      <c r="D172" s="39">
        <f t="shared" si="106"/>
        <v>8549093.5</v>
      </c>
      <c r="E172" s="1">
        <f t="shared" si="109"/>
        <v>1172001.6000000001</v>
      </c>
      <c r="F172" s="7">
        <f>804*705.6</f>
        <v>567302.40000000002</v>
      </c>
      <c r="G172" s="1">
        <v>0</v>
      </c>
      <c r="H172" s="7">
        <f>390*705.6</f>
        <v>275184</v>
      </c>
      <c r="I172" s="1">
        <v>0</v>
      </c>
      <c r="J172" s="7">
        <f>467*705.6</f>
        <v>329515.2</v>
      </c>
      <c r="K172" s="1">
        <v>0</v>
      </c>
      <c r="L172" s="2">
        <v>0</v>
      </c>
      <c r="M172" s="1">
        <v>0</v>
      </c>
      <c r="N172" s="1">
        <v>676.7</v>
      </c>
      <c r="O172" s="1">
        <f t="shared" si="107"/>
        <v>5244425</v>
      </c>
      <c r="P172" s="1">
        <v>0</v>
      </c>
      <c r="Q172" s="1">
        <f t="shared" si="110"/>
        <v>0</v>
      </c>
      <c r="R172" s="1">
        <v>541.9</v>
      </c>
      <c r="S172" s="1">
        <f t="shared" si="111"/>
        <v>2032666.9</v>
      </c>
      <c r="T172" s="1">
        <v>0</v>
      </c>
      <c r="U172" s="1">
        <v>50000</v>
      </c>
      <c r="V172" s="1">
        <v>0</v>
      </c>
      <c r="W172" s="1">
        <v>50000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</row>
    <row r="173" spans="1:30" s="20" customFormat="1" ht="36" customHeight="1" x14ac:dyDescent="0.25">
      <c r="A173" s="2">
        <f t="shared" si="108"/>
        <v>151</v>
      </c>
      <c r="B173" s="6">
        <f t="shared" si="71"/>
        <v>151</v>
      </c>
      <c r="C173" s="19" t="s">
        <v>1809</v>
      </c>
      <c r="D173" s="4">
        <f t="shared" si="106"/>
        <v>4145840.3</v>
      </c>
      <c r="E173" s="1">
        <f t="shared" si="109"/>
        <v>409183.8</v>
      </c>
      <c r="F173" s="7">
        <f>804*342.7</f>
        <v>275530.8</v>
      </c>
      <c r="G173" s="1">
        <v>0</v>
      </c>
      <c r="H173" s="7">
        <f>390*342.7</f>
        <v>133653</v>
      </c>
      <c r="I173" s="1">
        <v>0</v>
      </c>
      <c r="J173" s="7">
        <v>0</v>
      </c>
      <c r="K173" s="1">
        <v>0</v>
      </c>
      <c r="L173" s="2">
        <v>0</v>
      </c>
      <c r="M173" s="1">
        <v>0</v>
      </c>
      <c r="N173" s="1">
        <v>320.89999999999998</v>
      </c>
      <c r="O173" s="1">
        <f t="shared" si="107"/>
        <v>2486975</v>
      </c>
      <c r="P173" s="1">
        <v>0</v>
      </c>
      <c r="Q173" s="1">
        <f t="shared" si="110"/>
        <v>0</v>
      </c>
      <c r="R173" s="1">
        <v>306.5</v>
      </c>
      <c r="S173" s="1">
        <f t="shared" si="111"/>
        <v>1149681.5</v>
      </c>
      <c r="T173" s="1">
        <v>0</v>
      </c>
      <c r="U173" s="1">
        <v>50000</v>
      </c>
      <c r="V173" s="1">
        <v>0</v>
      </c>
      <c r="W173" s="1">
        <v>50000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</row>
    <row r="174" spans="1:30" s="20" customFormat="1" ht="36" customHeight="1" x14ac:dyDescent="0.25">
      <c r="A174" s="2">
        <f t="shared" si="108"/>
        <v>152</v>
      </c>
      <c r="B174" s="6">
        <f t="shared" si="71"/>
        <v>152</v>
      </c>
      <c r="C174" s="19" t="s">
        <v>2445</v>
      </c>
      <c r="D174" s="4">
        <f t="shared" si="106"/>
        <v>2078864.2</v>
      </c>
      <c r="E174" s="1">
        <f t="shared" si="109"/>
        <v>659749.19999999995</v>
      </c>
      <c r="F174" s="7">
        <f>804*397.2</f>
        <v>319348.8</v>
      </c>
      <c r="G174" s="1">
        <v>0</v>
      </c>
      <c r="H174" s="7">
        <f>390*397.2</f>
        <v>154908</v>
      </c>
      <c r="I174" s="1">
        <v>0</v>
      </c>
      <c r="J174" s="7">
        <f>467*397.2</f>
        <v>185492.4</v>
      </c>
      <c r="K174" s="1">
        <v>0</v>
      </c>
      <c r="L174" s="2">
        <v>0</v>
      </c>
      <c r="M174" s="1">
        <v>0</v>
      </c>
      <c r="N174" s="1">
        <v>0</v>
      </c>
      <c r="O174" s="1">
        <v>0</v>
      </c>
      <c r="P174" s="1">
        <v>0</v>
      </c>
      <c r="Q174" s="1">
        <f t="shared" si="110"/>
        <v>0</v>
      </c>
      <c r="R174" s="1">
        <v>365</v>
      </c>
      <c r="S174" s="1">
        <f t="shared" si="111"/>
        <v>1369115</v>
      </c>
      <c r="T174" s="1">
        <v>0</v>
      </c>
      <c r="U174" s="1">
        <v>0</v>
      </c>
      <c r="V174" s="1">
        <v>0</v>
      </c>
      <c r="W174" s="1">
        <v>50000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</row>
    <row r="175" spans="1:30" s="20" customFormat="1" ht="36" customHeight="1" x14ac:dyDescent="0.25">
      <c r="A175" s="2">
        <f t="shared" si="108"/>
        <v>153</v>
      </c>
      <c r="B175" s="6">
        <f t="shared" si="71"/>
        <v>153</v>
      </c>
      <c r="C175" s="19" t="s">
        <v>2446</v>
      </c>
      <c r="D175" s="4">
        <f t="shared" si="106"/>
        <v>8421288.9299999997</v>
      </c>
      <c r="E175" s="1">
        <f t="shared" si="109"/>
        <v>1279966.6000000001</v>
      </c>
      <c r="F175" s="7">
        <f>804*770.6</f>
        <v>619562.4</v>
      </c>
      <c r="G175" s="1">
        <v>0</v>
      </c>
      <c r="H175" s="7">
        <f>390*770.6</f>
        <v>300534</v>
      </c>
      <c r="I175" s="1">
        <v>0</v>
      </c>
      <c r="J175" s="7">
        <f>467*770.6</f>
        <v>359870.2</v>
      </c>
      <c r="K175" s="1">
        <v>0</v>
      </c>
      <c r="L175" s="2">
        <v>0</v>
      </c>
      <c r="M175" s="1">
        <v>0</v>
      </c>
      <c r="N175" s="1">
        <v>653.33000000000004</v>
      </c>
      <c r="O175" s="1">
        <f>N175*7750</f>
        <v>5063307.5</v>
      </c>
      <c r="P175" s="1">
        <v>0</v>
      </c>
      <c r="Q175" s="1">
        <f t="shared" si="110"/>
        <v>0</v>
      </c>
      <c r="R175" s="1">
        <v>527.33000000000004</v>
      </c>
      <c r="S175" s="1">
        <f t="shared" si="111"/>
        <v>1978014.83</v>
      </c>
      <c r="T175" s="1">
        <v>0</v>
      </c>
      <c r="U175" s="1">
        <v>50000</v>
      </c>
      <c r="V175" s="1">
        <v>0</v>
      </c>
      <c r="W175" s="1">
        <v>50000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</row>
    <row r="176" spans="1:30" s="20" customFormat="1" ht="36" customHeight="1" x14ac:dyDescent="0.25">
      <c r="A176" s="2">
        <f t="shared" si="108"/>
        <v>154</v>
      </c>
      <c r="B176" s="6">
        <f t="shared" si="71"/>
        <v>154</v>
      </c>
      <c r="C176" s="19" t="s">
        <v>2447</v>
      </c>
      <c r="D176" s="4">
        <f t="shared" si="106"/>
        <v>8388773.4299999997</v>
      </c>
      <c r="E176" s="1">
        <f t="shared" si="109"/>
        <v>1235950.1000000001</v>
      </c>
      <c r="F176" s="7">
        <f>804*744.1</f>
        <v>598256.4</v>
      </c>
      <c r="G176" s="1">
        <v>0</v>
      </c>
      <c r="H176" s="7">
        <f>390*744.1</f>
        <v>290199</v>
      </c>
      <c r="I176" s="1">
        <v>0</v>
      </c>
      <c r="J176" s="7">
        <f>467*744.1</f>
        <v>347494.7</v>
      </c>
      <c r="K176" s="1">
        <v>0</v>
      </c>
      <c r="L176" s="2">
        <v>0</v>
      </c>
      <c r="M176" s="1">
        <v>0</v>
      </c>
      <c r="N176" s="1">
        <v>654.33000000000004</v>
      </c>
      <c r="O176" s="1">
        <f>N176*7750</f>
        <v>5071057.5</v>
      </c>
      <c r="P176" s="1">
        <v>0</v>
      </c>
      <c r="Q176" s="1">
        <f t="shared" si="110"/>
        <v>0</v>
      </c>
      <c r="R176" s="1">
        <v>528.33000000000004</v>
      </c>
      <c r="S176" s="1">
        <f t="shared" si="111"/>
        <v>1981765.83</v>
      </c>
      <c r="T176" s="1">
        <v>0</v>
      </c>
      <c r="U176" s="1">
        <v>50000</v>
      </c>
      <c r="V176" s="1">
        <v>0</v>
      </c>
      <c r="W176" s="1">
        <v>50000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</row>
    <row r="177" spans="1:30" s="20" customFormat="1" ht="36" customHeight="1" x14ac:dyDescent="0.25">
      <c r="A177" s="2">
        <f t="shared" si="108"/>
        <v>155</v>
      </c>
      <c r="B177" s="6">
        <f t="shared" si="71"/>
        <v>155</v>
      </c>
      <c r="C177" s="19" t="s">
        <v>1998</v>
      </c>
      <c r="D177" s="4">
        <f t="shared" si="106"/>
        <v>8477591.4000000004</v>
      </c>
      <c r="E177" s="1">
        <f t="shared" si="109"/>
        <v>1161371.2000000002</v>
      </c>
      <c r="F177" s="1">
        <f>804*699.2</f>
        <v>562156.80000000005</v>
      </c>
      <c r="G177" s="1">
        <v>0</v>
      </c>
      <c r="H177" s="1">
        <f>390*699.2</f>
        <v>272688</v>
      </c>
      <c r="I177" s="1">
        <v>0</v>
      </c>
      <c r="J177" s="1">
        <f>467*699.2</f>
        <v>326526.40000000002</v>
      </c>
      <c r="K177" s="1">
        <v>0</v>
      </c>
      <c r="L177" s="2">
        <v>0</v>
      </c>
      <c r="M177" s="1">
        <v>0</v>
      </c>
      <c r="N177" s="1">
        <v>677.33</v>
      </c>
      <c r="O177" s="1">
        <f>N177*7750</f>
        <v>5249307.5</v>
      </c>
      <c r="P177" s="1">
        <v>0</v>
      </c>
      <c r="Q177" s="1">
        <f t="shared" si="110"/>
        <v>0</v>
      </c>
      <c r="R177" s="1">
        <v>537.70000000000005</v>
      </c>
      <c r="S177" s="1">
        <f t="shared" si="111"/>
        <v>2016912.7000000002</v>
      </c>
      <c r="T177" s="1">
        <v>0</v>
      </c>
      <c r="U177" s="1">
        <v>0</v>
      </c>
      <c r="V177" s="1">
        <v>0</v>
      </c>
      <c r="W177" s="1">
        <v>50000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</row>
    <row r="178" spans="1:30" s="20" customFormat="1" ht="36" customHeight="1" x14ac:dyDescent="0.25">
      <c r="A178" s="2">
        <f t="shared" si="108"/>
        <v>156</v>
      </c>
      <c r="B178" s="6">
        <f t="shared" si="71"/>
        <v>156</v>
      </c>
      <c r="C178" s="19" t="s">
        <v>2076</v>
      </c>
      <c r="D178" s="4">
        <f t="shared" si="106"/>
        <v>2146385.7999999998</v>
      </c>
      <c r="E178" s="1">
        <f t="shared" ref="E178" si="117">SUM(F178:K178)</f>
        <v>322162.8</v>
      </c>
      <c r="F178" s="7">
        <f>804*400.7</f>
        <v>322162.8</v>
      </c>
      <c r="G178" s="7">
        <v>0</v>
      </c>
      <c r="H178" s="7">
        <v>0</v>
      </c>
      <c r="I178" s="1">
        <v>0</v>
      </c>
      <c r="J178" s="7">
        <v>0</v>
      </c>
      <c r="K178" s="1">
        <v>0</v>
      </c>
      <c r="L178" s="2">
        <v>0</v>
      </c>
      <c r="M178" s="1">
        <v>0</v>
      </c>
      <c r="N178" s="1">
        <v>0</v>
      </c>
      <c r="O178" s="1">
        <v>0</v>
      </c>
      <c r="P178" s="1">
        <v>0</v>
      </c>
      <c r="Q178" s="1">
        <f t="shared" si="110"/>
        <v>0</v>
      </c>
      <c r="R178" s="1">
        <v>473</v>
      </c>
      <c r="S178" s="1">
        <f t="shared" si="111"/>
        <v>1774223</v>
      </c>
      <c r="T178" s="1">
        <v>0</v>
      </c>
      <c r="U178" s="1">
        <v>50000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</row>
    <row r="179" spans="1:30" s="20" customFormat="1" ht="36" customHeight="1" x14ac:dyDescent="0.25">
      <c r="A179" s="2">
        <f t="shared" si="108"/>
        <v>157</v>
      </c>
      <c r="B179" s="6">
        <f t="shared" si="71"/>
        <v>157</v>
      </c>
      <c r="C179" s="19" t="s">
        <v>115</v>
      </c>
      <c r="D179" s="4">
        <f t="shared" si="106"/>
        <v>9756646.6600000001</v>
      </c>
      <c r="E179" s="1">
        <f t="shared" si="109"/>
        <v>2375302.8000000003</v>
      </c>
      <c r="F179" s="7">
        <f>804*708.2</f>
        <v>569392.80000000005</v>
      </c>
      <c r="G179" s="7">
        <f>1693*708.2</f>
        <v>1198982.6000000001</v>
      </c>
      <c r="H179" s="7">
        <f>390*708.2</f>
        <v>276198</v>
      </c>
      <c r="I179" s="1">
        <f>467*708.2</f>
        <v>330729.40000000002</v>
      </c>
      <c r="J179" s="7">
        <v>0</v>
      </c>
      <c r="K179" s="1">
        <v>0</v>
      </c>
      <c r="L179" s="2">
        <v>0</v>
      </c>
      <c r="M179" s="1">
        <v>0</v>
      </c>
      <c r="N179" s="1">
        <v>640</v>
      </c>
      <c r="O179" s="1">
        <f>N179*7750</f>
        <v>4960000</v>
      </c>
      <c r="P179" s="1">
        <v>0</v>
      </c>
      <c r="Q179" s="1">
        <f t="shared" si="110"/>
        <v>0</v>
      </c>
      <c r="R179" s="1">
        <v>618.86</v>
      </c>
      <c r="S179" s="1">
        <f t="shared" si="111"/>
        <v>2321343.86</v>
      </c>
      <c r="T179" s="1">
        <v>0</v>
      </c>
      <c r="U179" s="1">
        <v>50000</v>
      </c>
      <c r="V179" s="1">
        <v>0</v>
      </c>
      <c r="W179" s="1">
        <v>50000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</row>
    <row r="180" spans="1:30" s="20" customFormat="1" ht="54.95" customHeight="1" x14ac:dyDescent="0.25">
      <c r="A180" s="3"/>
      <c r="B180" s="47" t="s">
        <v>1977</v>
      </c>
      <c r="C180" s="48"/>
      <c r="D180" s="4">
        <f>SUM(D181:D182)</f>
        <v>12623037.560000001</v>
      </c>
      <c r="E180" s="4">
        <f t="shared" ref="E180:AD180" si="118">SUM(E181:E182)</f>
        <v>2266683.6500000004</v>
      </c>
      <c r="F180" s="4">
        <f t="shared" si="118"/>
        <v>1097178.6000000001</v>
      </c>
      <c r="G180" s="4">
        <f t="shared" si="118"/>
        <v>0</v>
      </c>
      <c r="H180" s="4">
        <f t="shared" si="118"/>
        <v>532213.5</v>
      </c>
      <c r="I180" s="4">
        <f t="shared" si="118"/>
        <v>0</v>
      </c>
      <c r="J180" s="4">
        <f t="shared" si="118"/>
        <v>637291.55000000005</v>
      </c>
      <c r="K180" s="4">
        <f t="shared" si="118"/>
        <v>0</v>
      </c>
      <c r="L180" s="17">
        <f t="shared" si="118"/>
        <v>0</v>
      </c>
      <c r="M180" s="4">
        <f t="shared" si="118"/>
        <v>0</v>
      </c>
      <c r="N180" s="4">
        <f t="shared" si="118"/>
        <v>738.7</v>
      </c>
      <c r="O180" s="4">
        <f t="shared" si="118"/>
        <v>5724925</v>
      </c>
      <c r="P180" s="4">
        <f t="shared" si="118"/>
        <v>0</v>
      </c>
      <c r="Q180" s="4">
        <f t="shared" si="118"/>
        <v>0</v>
      </c>
      <c r="R180" s="4">
        <f t="shared" si="118"/>
        <v>1141.4100000000001</v>
      </c>
      <c r="S180" s="4">
        <f t="shared" si="118"/>
        <v>4281428.91</v>
      </c>
      <c r="T180" s="4">
        <f t="shared" si="118"/>
        <v>150000</v>
      </c>
      <c r="U180" s="4">
        <f t="shared" si="118"/>
        <v>100000</v>
      </c>
      <c r="V180" s="4">
        <f t="shared" si="118"/>
        <v>0</v>
      </c>
      <c r="W180" s="4">
        <f t="shared" si="118"/>
        <v>100000</v>
      </c>
      <c r="X180" s="4">
        <f t="shared" si="118"/>
        <v>0</v>
      </c>
      <c r="Y180" s="4">
        <f t="shared" si="118"/>
        <v>0</v>
      </c>
      <c r="Z180" s="4">
        <f t="shared" si="118"/>
        <v>0</v>
      </c>
      <c r="AA180" s="4">
        <f t="shared" si="118"/>
        <v>0</v>
      </c>
      <c r="AB180" s="4">
        <f t="shared" si="118"/>
        <v>0</v>
      </c>
      <c r="AC180" s="4">
        <f t="shared" si="118"/>
        <v>0</v>
      </c>
      <c r="AD180" s="4">
        <f t="shared" si="118"/>
        <v>0</v>
      </c>
    </row>
    <row r="181" spans="1:30" s="20" customFormat="1" ht="36" customHeight="1" x14ac:dyDescent="0.25">
      <c r="A181" s="2">
        <f>ROW()-ROW($A$11)-12</f>
        <v>158</v>
      </c>
      <c r="B181" s="6">
        <f t="shared" si="71"/>
        <v>158</v>
      </c>
      <c r="C181" s="19" t="s">
        <v>1810</v>
      </c>
      <c r="D181" s="4">
        <f>E181+M181+O181+Q181+S181+T181+U181+V181+W181+X181+Z181+AA181+AB181+AC181+AD181</f>
        <v>3364587.41</v>
      </c>
      <c r="E181" s="1">
        <f>SUM(F181:K181)</f>
        <v>1095761.7000000002</v>
      </c>
      <c r="F181" s="7">
        <f>804*659.7</f>
        <v>530398.80000000005</v>
      </c>
      <c r="G181" s="1">
        <v>0</v>
      </c>
      <c r="H181" s="7">
        <f>390*659.7</f>
        <v>257283.00000000003</v>
      </c>
      <c r="I181" s="1">
        <v>0</v>
      </c>
      <c r="J181" s="7">
        <f>467*659.7</f>
        <v>308079.90000000002</v>
      </c>
      <c r="K181" s="1">
        <v>0</v>
      </c>
      <c r="L181" s="2">
        <v>0</v>
      </c>
      <c r="M181" s="1">
        <v>0</v>
      </c>
      <c r="N181" s="1">
        <v>0</v>
      </c>
      <c r="O181" s="1">
        <v>0</v>
      </c>
      <c r="P181" s="1">
        <v>0</v>
      </c>
      <c r="Q181" s="1">
        <f>P181*1400</f>
        <v>0</v>
      </c>
      <c r="R181" s="1">
        <v>538.21</v>
      </c>
      <c r="S181" s="1">
        <f>R181*3751</f>
        <v>2018825.7100000002</v>
      </c>
      <c r="T181" s="1">
        <v>150000</v>
      </c>
      <c r="U181" s="1">
        <v>50000</v>
      </c>
      <c r="V181" s="1">
        <v>0</v>
      </c>
      <c r="W181" s="1">
        <v>50000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</row>
    <row r="182" spans="1:30" s="20" customFormat="1" ht="36" customHeight="1" x14ac:dyDescent="0.25">
      <c r="A182" s="2">
        <f>ROW()-ROW($A$11)-12</f>
        <v>159</v>
      </c>
      <c r="B182" s="6">
        <f t="shared" si="71"/>
        <v>159</v>
      </c>
      <c r="C182" s="19" t="s">
        <v>116</v>
      </c>
      <c r="D182" s="4">
        <f>E182+M182+O182+Q182+S182+T182+U182+V182+W182+X182+Z182+AA182+AB182+AC182+AD182</f>
        <v>9258450.1500000004</v>
      </c>
      <c r="E182" s="1">
        <f>SUM(F182:K182)</f>
        <v>1170921.9500000002</v>
      </c>
      <c r="F182" s="11">
        <f>804*704.95</f>
        <v>566779.80000000005</v>
      </c>
      <c r="G182" s="1">
        <v>0</v>
      </c>
      <c r="H182" s="11">
        <f>390*704.95</f>
        <v>274930.5</v>
      </c>
      <c r="I182" s="1">
        <v>0</v>
      </c>
      <c r="J182" s="11">
        <f>467*704.95</f>
        <v>329211.65000000002</v>
      </c>
      <c r="K182" s="1">
        <v>0</v>
      </c>
      <c r="L182" s="2">
        <v>0</v>
      </c>
      <c r="M182" s="1">
        <v>0</v>
      </c>
      <c r="N182" s="1">
        <v>738.7</v>
      </c>
      <c r="O182" s="1">
        <f>N182*7750</f>
        <v>5724925</v>
      </c>
      <c r="P182" s="1">
        <v>0</v>
      </c>
      <c r="Q182" s="1">
        <f>P182*1400</f>
        <v>0</v>
      </c>
      <c r="R182" s="1">
        <v>603.20000000000005</v>
      </c>
      <c r="S182" s="1">
        <f>R182*3751</f>
        <v>2262603.2000000002</v>
      </c>
      <c r="T182" s="1">
        <v>0</v>
      </c>
      <c r="U182" s="1">
        <v>50000</v>
      </c>
      <c r="V182" s="1">
        <v>0</v>
      </c>
      <c r="W182" s="1">
        <v>50000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</row>
    <row r="183" spans="1:30" s="20" customFormat="1" ht="54.95" customHeight="1" x14ac:dyDescent="0.25">
      <c r="A183" s="3"/>
      <c r="B183" s="47" t="s">
        <v>1978</v>
      </c>
      <c r="C183" s="48"/>
      <c r="D183" s="4">
        <f>SUM(D184:D221)</f>
        <v>182819024.18000004</v>
      </c>
      <c r="E183" s="4">
        <f t="shared" ref="E183:AD183" si="119">SUM(E184:E221)</f>
        <v>65657586.859999999</v>
      </c>
      <c r="F183" s="4">
        <f t="shared" si="119"/>
        <v>19119071.760000002</v>
      </c>
      <c r="G183" s="4">
        <f t="shared" si="119"/>
        <v>28124930.100000001</v>
      </c>
      <c r="H183" s="4">
        <f t="shared" si="119"/>
        <v>6802478.7999999998</v>
      </c>
      <c r="I183" s="4">
        <f t="shared" si="119"/>
        <v>3465701.2</v>
      </c>
      <c r="J183" s="4">
        <f t="shared" si="119"/>
        <v>8145405</v>
      </c>
      <c r="K183" s="4">
        <f t="shared" si="119"/>
        <v>0</v>
      </c>
      <c r="L183" s="17">
        <f t="shared" si="119"/>
        <v>0</v>
      </c>
      <c r="M183" s="4">
        <f t="shared" si="119"/>
        <v>0</v>
      </c>
      <c r="N183" s="4">
        <f t="shared" si="119"/>
        <v>10332</v>
      </c>
      <c r="O183" s="4">
        <f t="shared" si="119"/>
        <v>74898480</v>
      </c>
      <c r="P183" s="4">
        <f t="shared" si="119"/>
        <v>0</v>
      </c>
      <c r="Q183" s="4">
        <f t="shared" si="119"/>
        <v>0</v>
      </c>
      <c r="R183" s="4">
        <f t="shared" si="119"/>
        <v>10507.320000000002</v>
      </c>
      <c r="S183" s="4">
        <f t="shared" si="119"/>
        <v>39412957.319999993</v>
      </c>
      <c r="T183" s="4">
        <f t="shared" si="119"/>
        <v>900000</v>
      </c>
      <c r="U183" s="4">
        <f t="shared" si="119"/>
        <v>1450000</v>
      </c>
      <c r="V183" s="4">
        <f t="shared" si="119"/>
        <v>0</v>
      </c>
      <c r="W183" s="4">
        <f t="shared" si="119"/>
        <v>500000</v>
      </c>
      <c r="X183" s="4">
        <f t="shared" si="119"/>
        <v>0</v>
      </c>
      <c r="Y183" s="4">
        <f t="shared" si="119"/>
        <v>0</v>
      </c>
      <c r="Z183" s="4">
        <f t="shared" si="119"/>
        <v>0</v>
      </c>
      <c r="AA183" s="4">
        <f t="shared" si="119"/>
        <v>0</v>
      </c>
      <c r="AB183" s="4">
        <f t="shared" si="119"/>
        <v>0</v>
      </c>
      <c r="AC183" s="4">
        <f t="shared" si="119"/>
        <v>0</v>
      </c>
      <c r="AD183" s="4">
        <f t="shared" si="119"/>
        <v>0</v>
      </c>
    </row>
    <row r="184" spans="1:30" s="20" customFormat="1" ht="36" customHeight="1" x14ac:dyDescent="0.25">
      <c r="A184" s="2">
        <f>ROW()-ROW($A$11)-13</f>
        <v>160</v>
      </c>
      <c r="B184" s="6">
        <f t="shared" ref="B184:B185" si="120">A184</f>
        <v>160</v>
      </c>
      <c r="C184" s="19" t="s">
        <v>2079</v>
      </c>
      <c r="D184" s="4">
        <f t="shared" ref="D184:D221" si="121">E184+M184+O184+Q184+S184+T184+U184+V184+W184+X184+Z184+AA184+AB184+AC184+AD184</f>
        <v>3974400</v>
      </c>
      <c r="E184" s="1">
        <f t="shared" ref="E184" si="122">SUM(F184:K184)</f>
        <v>0</v>
      </c>
      <c r="F184" s="7">
        <v>0</v>
      </c>
      <c r="G184" s="7">
        <v>0</v>
      </c>
      <c r="H184" s="7">
        <v>0</v>
      </c>
      <c r="I184" s="1">
        <v>0</v>
      </c>
      <c r="J184" s="7">
        <v>0</v>
      </c>
      <c r="K184" s="1">
        <v>0</v>
      </c>
      <c r="L184" s="2">
        <v>0</v>
      </c>
      <c r="M184" s="1">
        <v>0</v>
      </c>
      <c r="N184" s="1">
        <v>800</v>
      </c>
      <c r="O184" s="1">
        <f>N184*4968</f>
        <v>3974400</v>
      </c>
      <c r="P184" s="1">
        <v>0</v>
      </c>
      <c r="Q184" s="1">
        <f t="shared" ref="Q184" si="123">P184*1400</f>
        <v>0</v>
      </c>
      <c r="R184" s="1">
        <v>0</v>
      </c>
      <c r="S184" s="1">
        <f t="shared" ref="S184" si="124">R184*3751</f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</row>
    <row r="185" spans="1:30" s="20" customFormat="1" ht="36" customHeight="1" x14ac:dyDescent="0.25">
      <c r="A185" s="2">
        <f t="shared" ref="A185:A221" si="125">ROW()-ROW($A$11)-13</f>
        <v>161</v>
      </c>
      <c r="B185" s="6">
        <f t="shared" si="120"/>
        <v>161</v>
      </c>
      <c r="C185" s="19" t="s">
        <v>2432</v>
      </c>
      <c r="D185" s="4">
        <f t="shared" si="121"/>
        <v>14436637.5</v>
      </c>
      <c r="E185" s="1">
        <f>SUM(F185:K185)</f>
        <v>7731857.5000000009</v>
      </c>
      <c r="F185" s="7">
        <f>804*1969.9</f>
        <v>1583799.6</v>
      </c>
      <c r="G185" s="7">
        <f>1693*1969.9</f>
        <v>3335040.7</v>
      </c>
      <c r="H185" s="7">
        <f>390*1969.9</f>
        <v>768261</v>
      </c>
      <c r="I185" s="7">
        <f>571*1969.9</f>
        <v>1124812.9000000001</v>
      </c>
      <c r="J185" s="7">
        <f>467*1969.9</f>
        <v>919943.3</v>
      </c>
      <c r="K185" s="1">
        <v>0</v>
      </c>
      <c r="L185" s="2">
        <v>0</v>
      </c>
      <c r="M185" s="1">
        <v>0</v>
      </c>
      <c r="N185" s="1">
        <v>660</v>
      </c>
      <c r="O185" s="1">
        <f>N185*4968</f>
        <v>3278880</v>
      </c>
      <c r="P185" s="1">
        <v>0</v>
      </c>
      <c r="Q185" s="1">
        <f>P185*1400</f>
        <v>0</v>
      </c>
      <c r="R185" s="1">
        <v>900</v>
      </c>
      <c r="S185" s="1">
        <f>R185*3751</f>
        <v>3375900</v>
      </c>
      <c r="T185" s="1">
        <v>0</v>
      </c>
      <c r="U185" s="1">
        <v>50000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</row>
    <row r="186" spans="1:30" s="20" customFormat="1" ht="36" customHeight="1" x14ac:dyDescent="0.25">
      <c r="A186" s="2">
        <f t="shared" si="125"/>
        <v>162</v>
      </c>
      <c r="B186" s="6">
        <f t="shared" si="71"/>
        <v>162</v>
      </c>
      <c r="C186" s="19" t="s">
        <v>117</v>
      </c>
      <c r="D186" s="4">
        <f t="shared" si="121"/>
        <v>6026740</v>
      </c>
      <c r="E186" s="1">
        <f>SUM(F186:K186)</f>
        <v>4201320</v>
      </c>
      <c r="F186" s="7">
        <f>804*1070.4</f>
        <v>860601.60000000009</v>
      </c>
      <c r="G186" s="7">
        <f>1693*1070.4</f>
        <v>1812187.2000000002</v>
      </c>
      <c r="H186" s="7">
        <f>390*1070.4</f>
        <v>417456.00000000006</v>
      </c>
      <c r="I186" s="7">
        <f>571*1070.4</f>
        <v>611198.4</v>
      </c>
      <c r="J186" s="7">
        <f>467*1070.4</f>
        <v>499876.80000000005</v>
      </c>
      <c r="K186" s="1">
        <v>0</v>
      </c>
      <c r="L186" s="2">
        <v>0</v>
      </c>
      <c r="M186" s="1">
        <v>0</v>
      </c>
      <c r="N186" s="1">
        <v>0</v>
      </c>
      <c r="O186" s="1">
        <v>0</v>
      </c>
      <c r="P186" s="1">
        <v>0</v>
      </c>
      <c r="Q186" s="1">
        <f>P186*1400</f>
        <v>0</v>
      </c>
      <c r="R186" s="1">
        <v>420</v>
      </c>
      <c r="S186" s="1">
        <f>R186*3751</f>
        <v>1575420</v>
      </c>
      <c r="T186" s="1">
        <v>150000</v>
      </c>
      <c r="U186" s="1">
        <v>50000</v>
      </c>
      <c r="V186" s="1">
        <v>0</v>
      </c>
      <c r="W186" s="1">
        <v>50000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</row>
    <row r="187" spans="1:30" s="20" customFormat="1" ht="36" customHeight="1" x14ac:dyDescent="0.25">
      <c r="A187" s="2">
        <f t="shared" si="125"/>
        <v>163</v>
      </c>
      <c r="B187" s="6">
        <f t="shared" si="71"/>
        <v>163</v>
      </c>
      <c r="C187" s="19" t="s">
        <v>118</v>
      </c>
      <c r="D187" s="4">
        <f t="shared" si="121"/>
        <v>6018631</v>
      </c>
      <c r="E187" s="1">
        <f t="shared" ref="E187:E221" si="126">SUM(F187:K187)</f>
        <v>4170705</v>
      </c>
      <c r="F187" s="7">
        <f>804*1062.6</f>
        <v>854330.39999999991</v>
      </c>
      <c r="G187" s="1">
        <f>1693*1062.6</f>
        <v>1798981.7999999998</v>
      </c>
      <c r="H187" s="1">
        <f>390*1062.6</f>
        <v>414413.99999999994</v>
      </c>
      <c r="I187" s="1">
        <f>571*1062.6</f>
        <v>606744.6</v>
      </c>
      <c r="J187" s="1">
        <f>467*1062.6</f>
        <v>496234.19999999995</v>
      </c>
      <c r="K187" s="1">
        <v>0</v>
      </c>
      <c r="L187" s="2">
        <v>0</v>
      </c>
      <c r="M187" s="1">
        <v>0</v>
      </c>
      <c r="N187" s="1">
        <v>0</v>
      </c>
      <c r="O187" s="1">
        <v>0</v>
      </c>
      <c r="P187" s="1">
        <v>0</v>
      </c>
      <c r="Q187" s="1">
        <f t="shared" ref="Q187:Q221" si="127">P187*1400</f>
        <v>0</v>
      </c>
      <c r="R187" s="1">
        <v>426</v>
      </c>
      <c r="S187" s="1">
        <f t="shared" ref="S187:S221" si="128">R187*3751</f>
        <v>1597926</v>
      </c>
      <c r="T187" s="1">
        <v>150000</v>
      </c>
      <c r="U187" s="1">
        <v>50000</v>
      </c>
      <c r="V187" s="1">
        <v>0</v>
      </c>
      <c r="W187" s="1">
        <v>50000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</row>
    <row r="188" spans="1:30" s="20" customFormat="1" ht="36" customHeight="1" x14ac:dyDescent="0.25">
      <c r="A188" s="2">
        <f t="shared" si="125"/>
        <v>164</v>
      </c>
      <c r="B188" s="6">
        <f>A188</f>
        <v>164</v>
      </c>
      <c r="C188" s="19" t="s">
        <v>731</v>
      </c>
      <c r="D188" s="4">
        <f t="shared" si="121"/>
        <v>1987200</v>
      </c>
      <c r="E188" s="1">
        <f>SUM(F188:K188)</f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1">
        <v>0</v>
      </c>
      <c r="L188" s="2">
        <v>0</v>
      </c>
      <c r="M188" s="1">
        <v>0</v>
      </c>
      <c r="N188" s="1">
        <v>400</v>
      </c>
      <c r="O188" s="1">
        <f>N188*4968</f>
        <v>1987200</v>
      </c>
      <c r="P188" s="1">
        <v>0</v>
      </c>
      <c r="Q188" s="1">
        <f t="shared" si="127"/>
        <v>0</v>
      </c>
      <c r="R188" s="25">
        <v>0</v>
      </c>
      <c r="S188" s="1">
        <f t="shared" si="128"/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</row>
    <row r="189" spans="1:30" s="20" customFormat="1" ht="36" customHeight="1" x14ac:dyDescent="0.25">
      <c r="A189" s="2">
        <f t="shared" si="125"/>
        <v>165</v>
      </c>
      <c r="B189" s="6">
        <f t="shared" si="71"/>
        <v>165</v>
      </c>
      <c r="C189" s="19" t="s">
        <v>119</v>
      </c>
      <c r="D189" s="4">
        <f t="shared" si="121"/>
        <v>1476186.4</v>
      </c>
      <c r="E189" s="1">
        <f t="shared" si="126"/>
        <v>520998.39999999991</v>
      </c>
      <c r="F189" s="7">
        <f>804*644.8</f>
        <v>518419.19999999995</v>
      </c>
      <c r="G189" s="7">
        <v>644.79999999999995</v>
      </c>
      <c r="H189" s="7">
        <v>644.79999999999995</v>
      </c>
      <c r="I189" s="7">
        <v>644.79999999999995</v>
      </c>
      <c r="J189" s="7">
        <v>644.79999999999995</v>
      </c>
      <c r="K189" s="1">
        <v>0</v>
      </c>
      <c r="L189" s="2">
        <v>0</v>
      </c>
      <c r="M189" s="1">
        <v>0</v>
      </c>
      <c r="N189" s="1">
        <v>0</v>
      </c>
      <c r="O189" s="1">
        <v>0</v>
      </c>
      <c r="P189" s="1">
        <v>0</v>
      </c>
      <c r="Q189" s="1">
        <f t="shared" si="127"/>
        <v>0</v>
      </c>
      <c r="R189" s="25">
        <v>188</v>
      </c>
      <c r="S189" s="1">
        <f t="shared" si="128"/>
        <v>705188</v>
      </c>
      <c r="T189" s="1">
        <v>150000</v>
      </c>
      <c r="U189" s="1">
        <v>50000</v>
      </c>
      <c r="V189" s="1">
        <v>0</v>
      </c>
      <c r="W189" s="1">
        <v>50000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</row>
    <row r="190" spans="1:30" s="20" customFormat="1" ht="36" customHeight="1" x14ac:dyDescent="0.25">
      <c r="A190" s="2">
        <f t="shared" si="125"/>
        <v>166</v>
      </c>
      <c r="B190" s="6">
        <f t="shared" si="71"/>
        <v>166</v>
      </c>
      <c r="C190" s="19" t="s">
        <v>120</v>
      </c>
      <c r="D190" s="4">
        <f t="shared" si="121"/>
        <v>5284277.8000000007</v>
      </c>
      <c r="E190" s="1">
        <f t="shared" si="126"/>
        <v>5184277.8000000007</v>
      </c>
      <c r="F190" s="7">
        <f>804*1545.7</f>
        <v>1242742.8</v>
      </c>
      <c r="G190" s="1">
        <f>1693*1545.7</f>
        <v>2616870.1</v>
      </c>
      <c r="H190" s="1">
        <f>390*1545.7</f>
        <v>602823</v>
      </c>
      <c r="I190" s="1">
        <v>0</v>
      </c>
      <c r="J190" s="1">
        <f>467*1545.7</f>
        <v>721841.9</v>
      </c>
      <c r="K190" s="1">
        <v>0</v>
      </c>
      <c r="L190" s="2">
        <v>0</v>
      </c>
      <c r="M190" s="1">
        <v>0</v>
      </c>
      <c r="N190" s="1">
        <v>0</v>
      </c>
      <c r="O190" s="1">
        <v>0</v>
      </c>
      <c r="P190" s="1">
        <v>0</v>
      </c>
      <c r="Q190" s="1">
        <f t="shared" si="127"/>
        <v>0</v>
      </c>
      <c r="R190" s="1">
        <v>0</v>
      </c>
      <c r="S190" s="1">
        <f t="shared" si="128"/>
        <v>0</v>
      </c>
      <c r="T190" s="1">
        <v>0</v>
      </c>
      <c r="U190" s="1">
        <v>50000</v>
      </c>
      <c r="V190" s="1">
        <v>0</v>
      </c>
      <c r="W190" s="1">
        <v>50000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</row>
    <row r="191" spans="1:30" s="20" customFormat="1" ht="36" customHeight="1" x14ac:dyDescent="0.25">
      <c r="A191" s="2">
        <f t="shared" si="125"/>
        <v>167</v>
      </c>
      <c r="B191" s="6">
        <f t="shared" si="71"/>
        <v>167</v>
      </c>
      <c r="C191" s="19" t="s">
        <v>2080</v>
      </c>
      <c r="D191" s="4">
        <f t="shared" si="121"/>
        <v>2031630.4</v>
      </c>
      <c r="E191" s="1">
        <f t="shared" si="126"/>
        <v>361880.4</v>
      </c>
      <c r="F191" s="7">
        <f>804*450.1</f>
        <v>361880.4</v>
      </c>
      <c r="G191" s="7">
        <v>0</v>
      </c>
      <c r="H191" s="7">
        <v>0</v>
      </c>
      <c r="I191" s="1">
        <v>0</v>
      </c>
      <c r="J191" s="7">
        <v>0</v>
      </c>
      <c r="K191" s="1">
        <v>0</v>
      </c>
      <c r="L191" s="2">
        <v>0</v>
      </c>
      <c r="M191" s="1">
        <v>0</v>
      </c>
      <c r="N191" s="1">
        <v>209</v>
      </c>
      <c r="O191" s="1">
        <f>N191*7750</f>
        <v>1619750</v>
      </c>
      <c r="P191" s="1">
        <v>0</v>
      </c>
      <c r="Q191" s="1">
        <f t="shared" si="127"/>
        <v>0</v>
      </c>
      <c r="R191" s="1">
        <v>0</v>
      </c>
      <c r="S191" s="1">
        <f t="shared" si="128"/>
        <v>0</v>
      </c>
      <c r="T191" s="1">
        <v>0</v>
      </c>
      <c r="U191" s="1">
        <v>50000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</row>
    <row r="192" spans="1:30" s="20" customFormat="1" ht="36" customHeight="1" x14ac:dyDescent="0.25">
      <c r="A192" s="2">
        <f t="shared" si="125"/>
        <v>168</v>
      </c>
      <c r="B192" s="6">
        <f t="shared" si="71"/>
        <v>168</v>
      </c>
      <c r="C192" s="19" t="s">
        <v>121</v>
      </c>
      <c r="D192" s="4">
        <f t="shared" si="121"/>
        <v>3211170.4000000004</v>
      </c>
      <c r="E192" s="1">
        <f t="shared" si="126"/>
        <v>3111170.4000000004</v>
      </c>
      <c r="F192" s="7">
        <f>804*927.6</f>
        <v>745790.4</v>
      </c>
      <c r="G192" s="1">
        <f>1693*927.6</f>
        <v>1570426.8</v>
      </c>
      <c r="H192" s="1">
        <f>390*927.6</f>
        <v>361764</v>
      </c>
      <c r="I192" s="1">
        <v>0</v>
      </c>
      <c r="J192" s="1">
        <f>467*927.6</f>
        <v>433189.2</v>
      </c>
      <c r="K192" s="1">
        <v>0</v>
      </c>
      <c r="L192" s="2">
        <v>0</v>
      </c>
      <c r="M192" s="1">
        <v>0</v>
      </c>
      <c r="N192" s="1">
        <v>0</v>
      </c>
      <c r="O192" s="1">
        <v>0</v>
      </c>
      <c r="P192" s="1">
        <v>0</v>
      </c>
      <c r="Q192" s="1">
        <f t="shared" si="127"/>
        <v>0</v>
      </c>
      <c r="R192" s="1">
        <v>0</v>
      </c>
      <c r="S192" s="1">
        <f t="shared" si="128"/>
        <v>0</v>
      </c>
      <c r="T192" s="1">
        <v>0</v>
      </c>
      <c r="U192" s="1">
        <v>50000</v>
      </c>
      <c r="V192" s="1">
        <v>0</v>
      </c>
      <c r="W192" s="1">
        <v>50000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</row>
    <row r="193" spans="1:30" s="20" customFormat="1" ht="36" customHeight="1" x14ac:dyDescent="0.25">
      <c r="A193" s="2">
        <f t="shared" si="125"/>
        <v>169</v>
      </c>
      <c r="B193" s="6">
        <f t="shared" ref="B193" si="129">A193</f>
        <v>169</v>
      </c>
      <c r="C193" s="19" t="s">
        <v>2081</v>
      </c>
      <c r="D193" s="4">
        <f t="shared" si="121"/>
        <v>7764587.5</v>
      </c>
      <c r="E193" s="1">
        <f t="shared" ref="E193" si="130">SUM(F193:K193)</f>
        <v>7714587.5</v>
      </c>
      <c r="F193" s="7">
        <f>804*1965.5</f>
        <v>1580262</v>
      </c>
      <c r="G193" s="7">
        <f>1693*1965.5</f>
        <v>3327591.5</v>
      </c>
      <c r="H193" s="7">
        <f>390*1965.5</f>
        <v>766545</v>
      </c>
      <c r="I193" s="1">
        <f>571*1965.5</f>
        <v>1122300.5</v>
      </c>
      <c r="J193" s="7">
        <f>467*1965.5</f>
        <v>917888.5</v>
      </c>
      <c r="K193" s="1">
        <v>0</v>
      </c>
      <c r="L193" s="2">
        <v>0</v>
      </c>
      <c r="M193" s="1">
        <v>0</v>
      </c>
      <c r="N193" s="1">
        <v>0</v>
      </c>
      <c r="O193" s="1">
        <v>0</v>
      </c>
      <c r="P193" s="1">
        <v>0</v>
      </c>
      <c r="Q193" s="1">
        <f t="shared" ref="Q193" si="131">P193*1400</f>
        <v>0</v>
      </c>
      <c r="R193" s="1">
        <v>0</v>
      </c>
      <c r="S193" s="1">
        <f t="shared" ref="S193" si="132">R193*3751</f>
        <v>0</v>
      </c>
      <c r="T193" s="1">
        <v>0</v>
      </c>
      <c r="U193" s="1">
        <v>50000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</row>
    <row r="194" spans="1:30" s="20" customFormat="1" ht="36" customHeight="1" x14ac:dyDescent="0.25">
      <c r="A194" s="2">
        <f t="shared" si="125"/>
        <v>170</v>
      </c>
      <c r="B194" s="6">
        <f t="shared" si="71"/>
        <v>170</v>
      </c>
      <c r="C194" s="19" t="s">
        <v>122</v>
      </c>
      <c r="D194" s="4">
        <f t="shared" si="121"/>
        <v>3312692</v>
      </c>
      <c r="E194" s="1">
        <f t="shared" si="126"/>
        <v>1442220</v>
      </c>
      <c r="F194" s="7">
        <f>804*430</f>
        <v>345720</v>
      </c>
      <c r="G194" s="1">
        <f>1693*430</f>
        <v>727990</v>
      </c>
      <c r="H194" s="1">
        <f>390*430</f>
        <v>167700</v>
      </c>
      <c r="I194" s="1">
        <v>0</v>
      </c>
      <c r="J194" s="1">
        <f>467*430</f>
        <v>200810</v>
      </c>
      <c r="K194" s="1">
        <v>0</v>
      </c>
      <c r="L194" s="2">
        <v>0</v>
      </c>
      <c r="M194" s="1">
        <v>0</v>
      </c>
      <c r="N194" s="1">
        <v>0</v>
      </c>
      <c r="O194" s="1">
        <v>0</v>
      </c>
      <c r="P194" s="1">
        <v>0</v>
      </c>
      <c r="Q194" s="1">
        <f t="shared" si="127"/>
        <v>0</v>
      </c>
      <c r="R194" s="1">
        <v>472</v>
      </c>
      <c r="S194" s="1">
        <f t="shared" si="128"/>
        <v>1770472</v>
      </c>
      <c r="T194" s="1">
        <v>0</v>
      </c>
      <c r="U194" s="1">
        <v>50000</v>
      </c>
      <c r="V194" s="1">
        <v>0</v>
      </c>
      <c r="W194" s="1">
        <v>50000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</row>
    <row r="195" spans="1:30" s="20" customFormat="1" ht="36" customHeight="1" x14ac:dyDescent="0.25">
      <c r="A195" s="2">
        <f t="shared" si="125"/>
        <v>171</v>
      </c>
      <c r="B195" s="6">
        <f>A195</f>
        <v>171</v>
      </c>
      <c r="C195" s="19" t="s">
        <v>1673</v>
      </c>
      <c r="D195" s="4">
        <f t="shared" si="121"/>
        <v>8575000</v>
      </c>
      <c r="E195" s="1">
        <f>SUM(F195:K195)</f>
        <v>0</v>
      </c>
      <c r="F195" s="7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2">
        <v>0</v>
      </c>
      <c r="M195" s="1">
        <v>0</v>
      </c>
      <c r="N195" s="1">
        <v>1100</v>
      </c>
      <c r="O195" s="1">
        <f>N195*7750</f>
        <v>8525000</v>
      </c>
      <c r="P195" s="1">
        <v>0</v>
      </c>
      <c r="Q195" s="1">
        <f>P195*1400</f>
        <v>0</v>
      </c>
      <c r="R195" s="1">
        <v>0</v>
      </c>
      <c r="S195" s="1">
        <f>R195*3751</f>
        <v>0</v>
      </c>
      <c r="T195" s="1">
        <v>0</v>
      </c>
      <c r="U195" s="1">
        <v>0</v>
      </c>
      <c r="V195" s="1">
        <v>0</v>
      </c>
      <c r="W195" s="1">
        <v>50000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</row>
    <row r="196" spans="1:30" s="20" customFormat="1" ht="36" customHeight="1" x14ac:dyDescent="0.25">
      <c r="A196" s="2">
        <f t="shared" si="125"/>
        <v>172</v>
      </c>
      <c r="B196" s="6">
        <f t="shared" ref="B196" si="133">A196</f>
        <v>172</v>
      </c>
      <c r="C196" s="19" t="s">
        <v>2082</v>
      </c>
      <c r="D196" s="4">
        <f t="shared" si="121"/>
        <v>5942819.7599999998</v>
      </c>
      <c r="E196" s="1">
        <f t="shared" ref="E196" si="134">SUM(F196:K196)</f>
        <v>379841.76</v>
      </c>
      <c r="F196" s="7">
        <f>804*472.44</f>
        <v>379841.76</v>
      </c>
      <c r="G196" s="7">
        <v>0</v>
      </c>
      <c r="H196" s="7">
        <v>0</v>
      </c>
      <c r="I196" s="1">
        <v>0</v>
      </c>
      <c r="J196" s="7">
        <v>0</v>
      </c>
      <c r="K196" s="1">
        <v>0</v>
      </c>
      <c r="L196" s="2">
        <v>0</v>
      </c>
      <c r="M196" s="1">
        <v>0</v>
      </c>
      <c r="N196" s="1">
        <v>480</v>
      </c>
      <c r="O196" s="1">
        <f>N196*7750</f>
        <v>3720000</v>
      </c>
      <c r="P196" s="1">
        <v>0</v>
      </c>
      <c r="Q196" s="1">
        <f t="shared" ref="Q196" si="135">P196*1400</f>
        <v>0</v>
      </c>
      <c r="R196" s="1">
        <v>478</v>
      </c>
      <c r="S196" s="1">
        <f t="shared" ref="S196" si="136">R196*3751</f>
        <v>1792978</v>
      </c>
      <c r="T196" s="1">
        <v>0</v>
      </c>
      <c r="U196" s="1">
        <v>50000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</row>
    <row r="197" spans="1:30" s="20" customFormat="1" ht="36" customHeight="1" x14ac:dyDescent="0.25">
      <c r="A197" s="2">
        <f t="shared" si="125"/>
        <v>173</v>
      </c>
      <c r="B197" s="6">
        <f t="shared" ref="B197" si="137">A197</f>
        <v>173</v>
      </c>
      <c r="C197" s="19" t="s">
        <v>2083</v>
      </c>
      <c r="D197" s="4">
        <f t="shared" si="121"/>
        <v>4105670.2</v>
      </c>
      <c r="E197" s="1">
        <f t="shared" ref="E197" si="138">SUM(F197:K197)</f>
        <v>320635.2</v>
      </c>
      <c r="F197" s="7">
        <f>804*398.8</f>
        <v>320635.2</v>
      </c>
      <c r="G197" s="7">
        <v>0</v>
      </c>
      <c r="H197" s="7">
        <v>0</v>
      </c>
      <c r="I197" s="1">
        <v>0</v>
      </c>
      <c r="J197" s="7">
        <v>0</v>
      </c>
      <c r="K197" s="1">
        <v>0</v>
      </c>
      <c r="L197" s="2">
        <v>0</v>
      </c>
      <c r="M197" s="1">
        <v>0</v>
      </c>
      <c r="N197" s="1">
        <v>344</v>
      </c>
      <c r="O197" s="1">
        <f>N197*7750</f>
        <v>2666000</v>
      </c>
      <c r="P197" s="1">
        <v>0</v>
      </c>
      <c r="Q197" s="1">
        <f t="shared" ref="Q197" si="139">P197*1400</f>
        <v>0</v>
      </c>
      <c r="R197" s="1">
        <v>285</v>
      </c>
      <c r="S197" s="1">
        <f t="shared" ref="S197" si="140">R197*3751</f>
        <v>1069035</v>
      </c>
      <c r="T197" s="1">
        <v>0</v>
      </c>
      <c r="U197" s="1">
        <v>50000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</row>
    <row r="198" spans="1:30" s="20" customFormat="1" ht="36" customHeight="1" x14ac:dyDescent="0.25">
      <c r="A198" s="2">
        <f t="shared" si="125"/>
        <v>174</v>
      </c>
      <c r="B198" s="6">
        <f t="shared" si="71"/>
        <v>174</v>
      </c>
      <c r="C198" s="19" t="s">
        <v>123</v>
      </c>
      <c r="D198" s="4">
        <f t="shared" si="121"/>
        <v>1804380.4</v>
      </c>
      <c r="E198" s="1">
        <f t="shared" si="126"/>
        <v>291530.40000000002</v>
      </c>
      <c r="F198" s="1">
        <f>804*362.6</f>
        <v>291530.40000000002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2">
        <v>0</v>
      </c>
      <c r="M198" s="1">
        <v>0</v>
      </c>
      <c r="N198" s="1">
        <v>0</v>
      </c>
      <c r="O198" s="1">
        <v>0</v>
      </c>
      <c r="P198" s="1">
        <v>0</v>
      </c>
      <c r="Q198" s="1">
        <f t="shared" si="127"/>
        <v>0</v>
      </c>
      <c r="R198" s="1">
        <v>350</v>
      </c>
      <c r="S198" s="1">
        <f t="shared" si="128"/>
        <v>1312850</v>
      </c>
      <c r="T198" s="1">
        <v>150000</v>
      </c>
      <c r="U198" s="1">
        <v>50000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</row>
    <row r="199" spans="1:30" s="20" customFormat="1" ht="36" customHeight="1" x14ac:dyDescent="0.25">
      <c r="A199" s="2">
        <f t="shared" si="125"/>
        <v>175</v>
      </c>
      <c r="B199" s="6">
        <f t="shared" si="71"/>
        <v>175</v>
      </c>
      <c r="C199" s="19" t="s">
        <v>124</v>
      </c>
      <c r="D199" s="4">
        <f t="shared" si="121"/>
        <v>1679274.08</v>
      </c>
      <c r="E199" s="1">
        <f t="shared" si="126"/>
        <v>215150.40000000002</v>
      </c>
      <c r="F199" s="7">
        <f>804*267.6</f>
        <v>215150.40000000002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2">
        <v>0</v>
      </c>
      <c r="M199" s="1">
        <v>0</v>
      </c>
      <c r="N199" s="1">
        <v>0</v>
      </c>
      <c r="O199" s="1">
        <v>0</v>
      </c>
      <c r="P199" s="1">
        <v>0</v>
      </c>
      <c r="Q199" s="1">
        <f t="shared" si="127"/>
        <v>0</v>
      </c>
      <c r="R199" s="1">
        <v>323.68</v>
      </c>
      <c r="S199" s="1">
        <f t="shared" si="128"/>
        <v>1214123.68</v>
      </c>
      <c r="T199" s="1">
        <v>150000</v>
      </c>
      <c r="U199" s="1">
        <v>50000</v>
      </c>
      <c r="V199" s="1">
        <v>0</v>
      </c>
      <c r="W199" s="1">
        <v>50000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</row>
    <row r="200" spans="1:30" s="20" customFormat="1" ht="36" customHeight="1" x14ac:dyDescent="0.25">
      <c r="A200" s="2">
        <f t="shared" si="125"/>
        <v>176</v>
      </c>
      <c r="B200" s="6">
        <f t="shared" ref="B200" si="141">A200</f>
        <v>176</v>
      </c>
      <c r="C200" s="19" t="s">
        <v>2096</v>
      </c>
      <c r="D200" s="4">
        <f t="shared" si="121"/>
        <v>6696836.2000000002</v>
      </c>
      <c r="E200" s="1">
        <f t="shared" si="126"/>
        <v>295711.2</v>
      </c>
      <c r="F200" s="7">
        <f>804*367.8</f>
        <v>295711.2</v>
      </c>
      <c r="G200" s="7">
        <v>0</v>
      </c>
      <c r="H200" s="7">
        <v>0</v>
      </c>
      <c r="I200" s="1">
        <v>0</v>
      </c>
      <c r="J200" s="7">
        <v>0</v>
      </c>
      <c r="K200" s="1">
        <v>0</v>
      </c>
      <c r="L200" s="2">
        <v>0</v>
      </c>
      <c r="M200" s="1">
        <v>0</v>
      </c>
      <c r="N200" s="1">
        <v>638</v>
      </c>
      <c r="O200" s="1">
        <f>N200*7750</f>
        <v>4944500</v>
      </c>
      <c r="P200" s="1">
        <v>0</v>
      </c>
      <c r="Q200" s="1">
        <f t="shared" ref="Q200" si="142">P200*1400</f>
        <v>0</v>
      </c>
      <c r="R200" s="1">
        <v>375</v>
      </c>
      <c r="S200" s="1">
        <f t="shared" ref="S200" si="143">R200*3751</f>
        <v>1406625</v>
      </c>
      <c r="T200" s="1">
        <v>0</v>
      </c>
      <c r="U200" s="1">
        <v>50000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</row>
    <row r="201" spans="1:30" s="20" customFormat="1" ht="36" customHeight="1" x14ac:dyDescent="0.25">
      <c r="A201" s="2">
        <f t="shared" si="125"/>
        <v>177</v>
      </c>
      <c r="B201" s="6">
        <f t="shared" si="71"/>
        <v>177</v>
      </c>
      <c r="C201" s="19" t="s">
        <v>736</v>
      </c>
      <c r="D201" s="4">
        <f t="shared" si="121"/>
        <v>7729284</v>
      </c>
      <c r="E201" s="1">
        <f t="shared" ref="E201" si="144">SUM(F201:K201)</f>
        <v>301098</v>
      </c>
      <c r="F201" s="7">
        <f>804*374.5</f>
        <v>301098</v>
      </c>
      <c r="G201" s="7">
        <v>0</v>
      </c>
      <c r="H201" s="7">
        <v>0</v>
      </c>
      <c r="I201" s="1">
        <v>0</v>
      </c>
      <c r="J201" s="7">
        <v>0</v>
      </c>
      <c r="K201" s="1">
        <v>0</v>
      </c>
      <c r="L201" s="2">
        <v>0</v>
      </c>
      <c r="M201" s="1">
        <v>0</v>
      </c>
      <c r="N201" s="1">
        <v>741</v>
      </c>
      <c r="O201" s="1">
        <f>N201*7750</f>
        <v>5742750</v>
      </c>
      <c r="P201" s="1">
        <v>0</v>
      </c>
      <c r="Q201" s="1">
        <f t="shared" si="127"/>
        <v>0</v>
      </c>
      <c r="R201" s="1">
        <v>436</v>
      </c>
      <c r="S201" s="1">
        <f t="shared" si="128"/>
        <v>1635436</v>
      </c>
      <c r="T201" s="1">
        <v>0</v>
      </c>
      <c r="U201" s="1">
        <v>50000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</row>
    <row r="202" spans="1:30" s="20" customFormat="1" ht="36" customHeight="1" x14ac:dyDescent="0.25">
      <c r="A202" s="2">
        <f t="shared" si="125"/>
        <v>178</v>
      </c>
      <c r="B202" s="6">
        <f t="shared" ref="B202:B217" si="145">A202</f>
        <v>178</v>
      </c>
      <c r="C202" s="19" t="s">
        <v>737</v>
      </c>
      <c r="D202" s="4">
        <f t="shared" si="121"/>
        <v>2763814.4</v>
      </c>
      <c r="E202" s="1">
        <f t="shared" si="126"/>
        <v>388814.4</v>
      </c>
      <c r="F202" s="1">
        <f>804*483.6</f>
        <v>388814.4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2">
        <v>0</v>
      </c>
      <c r="M202" s="1">
        <v>0</v>
      </c>
      <c r="N202" s="1">
        <v>300</v>
      </c>
      <c r="O202" s="1">
        <f>N202*7750</f>
        <v>2325000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50000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</row>
    <row r="203" spans="1:30" s="20" customFormat="1" ht="36" customHeight="1" x14ac:dyDescent="0.25">
      <c r="A203" s="2">
        <f t="shared" si="125"/>
        <v>179</v>
      </c>
      <c r="B203" s="6">
        <f t="shared" si="145"/>
        <v>179</v>
      </c>
      <c r="C203" s="19" t="s">
        <v>738</v>
      </c>
      <c r="D203" s="4">
        <f t="shared" si="121"/>
        <v>2633888</v>
      </c>
      <c r="E203" s="1">
        <f t="shared" si="126"/>
        <v>258888</v>
      </c>
      <c r="F203" s="1">
        <f>804*322</f>
        <v>258888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2">
        <v>0</v>
      </c>
      <c r="M203" s="1">
        <v>0</v>
      </c>
      <c r="N203" s="1">
        <v>300</v>
      </c>
      <c r="O203" s="1">
        <f>N203*7750</f>
        <v>2325000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50000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</row>
    <row r="204" spans="1:30" s="20" customFormat="1" ht="36" customHeight="1" x14ac:dyDescent="0.25">
      <c r="A204" s="2">
        <f t="shared" si="125"/>
        <v>180</v>
      </c>
      <c r="B204" s="6">
        <f t="shared" si="145"/>
        <v>180</v>
      </c>
      <c r="C204" s="19" t="s">
        <v>1637</v>
      </c>
      <c r="D204" s="4">
        <f t="shared" si="121"/>
        <v>308888</v>
      </c>
      <c r="E204" s="1">
        <f t="shared" si="126"/>
        <v>258888</v>
      </c>
      <c r="F204" s="1">
        <f>804*322</f>
        <v>258888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2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50000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</row>
    <row r="205" spans="1:30" s="20" customFormat="1" ht="36" customHeight="1" x14ac:dyDescent="0.25">
      <c r="A205" s="2">
        <f t="shared" si="125"/>
        <v>181</v>
      </c>
      <c r="B205" s="6">
        <f t="shared" si="145"/>
        <v>181</v>
      </c>
      <c r="C205" s="19" t="s">
        <v>2090</v>
      </c>
      <c r="D205" s="4">
        <f t="shared" si="121"/>
        <v>2970704.6</v>
      </c>
      <c r="E205" s="1">
        <f t="shared" si="126"/>
        <v>745124.60000000009</v>
      </c>
      <c r="F205" s="7">
        <f>804*448.6</f>
        <v>360674.4</v>
      </c>
      <c r="G205" s="7">
        <v>0</v>
      </c>
      <c r="H205" s="7">
        <f>390*448.6</f>
        <v>174954</v>
      </c>
      <c r="I205" s="1">
        <v>0</v>
      </c>
      <c r="J205" s="7">
        <f>467*448.6</f>
        <v>209496.2</v>
      </c>
      <c r="K205" s="1">
        <v>0</v>
      </c>
      <c r="L205" s="2">
        <v>0</v>
      </c>
      <c r="M205" s="1">
        <v>0</v>
      </c>
      <c r="N205" s="1">
        <v>0</v>
      </c>
      <c r="O205" s="1">
        <v>0</v>
      </c>
      <c r="P205" s="1">
        <v>0</v>
      </c>
      <c r="Q205" s="1">
        <f t="shared" ref="Q205:Q207" si="146">P205*1400</f>
        <v>0</v>
      </c>
      <c r="R205" s="1">
        <v>580</v>
      </c>
      <c r="S205" s="1">
        <f t="shared" ref="S205:S207" si="147">R205*3751</f>
        <v>2175580</v>
      </c>
      <c r="T205" s="1">
        <v>0</v>
      </c>
      <c r="U205" s="1">
        <v>50000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</row>
    <row r="206" spans="1:30" s="20" customFormat="1" ht="36" customHeight="1" x14ac:dyDescent="0.25">
      <c r="A206" s="2">
        <f t="shared" si="125"/>
        <v>182</v>
      </c>
      <c r="B206" s="6">
        <f t="shared" si="145"/>
        <v>182</v>
      </c>
      <c r="C206" s="19" t="s">
        <v>2091</v>
      </c>
      <c r="D206" s="4">
        <f t="shared" si="121"/>
        <v>2175580</v>
      </c>
      <c r="E206" s="1">
        <f t="shared" si="126"/>
        <v>0</v>
      </c>
      <c r="F206" s="7">
        <v>0</v>
      </c>
      <c r="G206" s="7">
        <v>0</v>
      </c>
      <c r="H206" s="7">
        <v>0</v>
      </c>
      <c r="I206" s="1">
        <v>0</v>
      </c>
      <c r="J206" s="7">
        <v>0</v>
      </c>
      <c r="K206" s="1">
        <v>0</v>
      </c>
      <c r="L206" s="2">
        <v>0</v>
      </c>
      <c r="M206" s="1">
        <v>0</v>
      </c>
      <c r="N206" s="1">
        <v>0</v>
      </c>
      <c r="O206" s="1">
        <v>0</v>
      </c>
      <c r="P206" s="1">
        <v>0</v>
      </c>
      <c r="Q206" s="1">
        <f t="shared" si="146"/>
        <v>0</v>
      </c>
      <c r="R206" s="1">
        <v>580</v>
      </c>
      <c r="S206" s="1">
        <f t="shared" si="147"/>
        <v>2175580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</row>
    <row r="207" spans="1:30" s="20" customFormat="1" ht="36" customHeight="1" x14ac:dyDescent="0.25">
      <c r="A207" s="2">
        <f t="shared" si="125"/>
        <v>183</v>
      </c>
      <c r="B207" s="6">
        <f t="shared" si="145"/>
        <v>183</v>
      </c>
      <c r="C207" s="19" t="s">
        <v>2092</v>
      </c>
      <c r="D207" s="4">
        <f t="shared" si="121"/>
        <v>6421593.9000000004</v>
      </c>
      <c r="E207" s="1">
        <f t="shared" si="126"/>
        <v>631013.89999999991</v>
      </c>
      <c r="F207" s="7">
        <f>804*379.9</f>
        <v>305439.59999999998</v>
      </c>
      <c r="G207" s="7">
        <v>0</v>
      </c>
      <c r="H207" s="7">
        <f>390*379.9</f>
        <v>148161</v>
      </c>
      <c r="I207" s="1">
        <v>0</v>
      </c>
      <c r="J207" s="7">
        <f>467*379.9</f>
        <v>177413.3</v>
      </c>
      <c r="K207" s="1">
        <v>0</v>
      </c>
      <c r="L207" s="2">
        <v>0</v>
      </c>
      <c r="M207" s="1">
        <v>0</v>
      </c>
      <c r="N207" s="1">
        <v>460</v>
      </c>
      <c r="O207" s="1">
        <f>N207*7750</f>
        <v>3565000</v>
      </c>
      <c r="P207" s="1">
        <v>0</v>
      </c>
      <c r="Q207" s="1">
        <f t="shared" si="146"/>
        <v>0</v>
      </c>
      <c r="R207" s="1">
        <v>580</v>
      </c>
      <c r="S207" s="1">
        <f t="shared" si="147"/>
        <v>2175580</v>
      </c>
      <c r="T207" s="1">
        <v>0</v>
      </c>
      <c r="U207" s="1">
        <v>50000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</row>
    <row r="208" spans="1:30" s="20" customFormat="1" ht="36" customHeight="1" x14ac:dyDescent="0.25">
      <c r="A208" s="2">
        <f t="shared" si="125"/>
        <v>184</v>
      </c>
      <c r="B208" s="6">
        <f t="shared" ref="B208" si="148">A208</f>
        <v>184</v>
      </c>
      <c r="C208" s="19" t="s">
        <v>2093</v>
      </c>
      <c r="D208" s="4">
        <f t="shared" si="121"/>
        <v>13180574.600000001</v>
      </c>
      <c r="E208" s="1">
        <f t="shared" ref="E208" si="149">SUM(F208:K208)</f>
        <v>13130574.600000001</v>
      </c>
      <c r="F208" s="7">
        <f>804*3914.9</f>
        <v>3147579.6</v>
      </c>
      <c r="G208" s="7">
        <f>1693*3914.9</f>
        <v>6627925.7000000002</v>
      </c>
      <c r="H208" s="7">
        <f>390*3914.9</f>
        <v>1526811</v>
      </c>
      <c r="I208" s="1">
        <v>0</v>
      </c>
      <c r="J208" s="7">
        <f>467*3914.9</f>
        <v>1828258.3</v>
      </c>
      <c r="K208" s="1">
        <v>0</v>
      </c>
      <c r="L208" s="2">
        <v>0</v>
      </c>
      <c r="M208" s="1">
        <v>0</v>
      </c>
      <c r="N208" s="1">
        <v>0</v>
      </c>
      <c r="O208" s="1">
        <v>0</v>
      </c>
      <c r="P208" s="1">
        <v>0</v>
      </c>
      <c r="Q208" s="1">
        <f t="shared" ref="Q208" si="150">P208*1400</f>
        <v>0</v>
      </c>
      <c r="R208" s="1">
        <v>0</v>
      </c>
      <c r="S208" s="1">
        <f t="shared" ref="S208" si="151">R208*3751</f>
        <v>0</v>
      </c>
      <c r="T208" s="1">
        <v>0</v>
      </c>
      <c r="U208" s="1">
        <v>50000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</row>
    <row r="209" spans="1:30" s="20" customFormat="1" ht="36" customHeight="1" x14ac:dyDescent="0.25">
      <c r="A209" s="2">
        <f t="shared" si="125"/>
        <v>185</v>
      </c>
      <c r="B209" s="6">
        <f t="shared" si="145"/>
        <v>185</v>
      </c>
      <c r="C209" s="19" t="s">
        <v>2084</v>
      </c>
      <c r="D209" s="4">
        <f t="shared" si="121"/>
        <v>2235596</v>
      </c>
      <c r="E209" s="1">
        <f t="shared" si="126"/>
        <v>0</v>
      </c>
      <c r="F209" s="7">
        <v>0</v>
      </c>
      <c r="G209" s="7">
        <v>0</v>
      </c>
      <c r="H209" s="7">
        <v>0</v>
      </c>
      <c r="I209" s="1">
        <v>0</v>
      </c>
      <c r="J209" s="7">
        <v>0</v>
      </c>
      <c r="K209" s="1">
        <v>0</v>
      </c>
      <c r="L209" s="2">
        <v>0</v>
      </c>
      <c r="M209" s="1">
        <v>0</v>
      </c>
      <c r="N209" s="1">
        <v>0</v>
      </c>
      <c r="O209" s="1">
        <v>0</v>
      </c>
      <c r="P209" s="1">
        <v>0</v>
      </c>
      <c r="Q209" s="1">
        <f t="shared" ref="Q209" si="152">P209*1400</f>
        <v>0</v>
      </c>
      <c r="R209" s="1">
        <v>596</v>
      </c>
      <c r="S209" s="1">
        <f t="shared" ref="S209" si="153">R209*3751</f>
        <v>2235596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</row>
    <row r="210" spans="1:30" s="20" customFormat="1" ht="36" customHeight="1" x14ac:dyDescent="0.25">
      <c r="A210" s="2">
        <f t="shared" si="125"/>
        <v>186</v>
      </c>
      <c r="B210" s="6">
        <f t="shared" ref="B210" si="154">A210</f>
        <v>186</v>
      </c>
      <c r="C210" s="19" t="s">
        <v>2085</v>
      </c>
      <c r="D210" s="4">
        <f t="shared" si="121"/>
        <v>5800596</v>
      </c>
      <c r="E210" s="1">
        <f t="shared" ref="E210" si="155">SUM(F210:K210)</f>
        <v>0</v>
      </c>
      <c r="F210" s="7">
        <v>0</v>
      </c>
      <c r="G210" s="7">
        <v>0</v>
      </c>
      <c r="H210" s="7">
        <v>0</v>
      </c>
      <c r="I210" s="1">
        <v>0</v>
      </c>
      <c r="J210" s="7">
        <v>0</v>
      </c>
      <c r="K210" s="1">
        <v>0</v>
      </c>
      <c r="L210" s="2">
        <v>0</v>
      </c>
      <c r="M210" s="1">
        <v>0</v>
      </c>
      <c r="N210" s="1">
        <v>460</v>
      </c>
      <c r="O210" s="1">
        <f>N210*7750</f>
        <v>3565000</v>
      </c>
      <c r="P210" s="1">
        <v>0</v>
      </c>
      <c r="Q210" s="1">
        <f t="shared" ref="Q210" si="156">P210*1400</f>
        <v>0</v>
      </c>
      <c r="R210" s="1">
        <v>596</v>
      </c>
      <c r="S210" s="1">
        <f t="shared" ref="S210" si="157">R210*3751</f>
        <v>2235596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</row>
    <row r="211" spans="1:30" s="20" customFormat="1" ht="36" customHeight="1" x14ac:dyDescent="0.25">
      <c r="A211" s="2">
        <f t="shared" si="125"/>
        <v>187</v>
      </c>
      <c r="B211" s="6">
        <f t="shared" si="145"/>
        <v>187</v>
      </c>
      <c r="C211" s="19" t="s">
        <v>744</v>
      </c>
      <c r="D211" s="4">
        <f t="shared" si="121"/>
        <v>3177500</v>
      </c>
      <c r="E211" s="1">
        <f t="shared" si="126"/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2">
        <v>0</v>
      </c>
      <c r="M211" s="1">
        <v>0</v>
      </c>
      <c r="N211" s="1">
        <v>410</v>
      </c>
      <c r="O211" s="1">
        <f>N211*7750</f>
        <v>3177500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</row>
    <row r="212" spans="1:30" s="20" customFormat="1" ht="36" customHeight="1" x14ac:dyDescent="0.25">
      <c r="A212" s="2">
        <f t="shared" si="125"/>
        <v>188</v>
      </c>
      <c r="B212" s="6">
        <f t="shared" si="145"/>
        <v>188</v>
      </c>
      <c r="C212" s="19" t="s">
        <v>2086</v>
      </c>
      <c r="D212" s="4">
        <f t="shared" si="121"/>
        <v>3565000</v>
      </c>
      <c r="E212" s="1">
        <f t="shared" si="126"/>
        <v>0</v>
      </c>
      <c r="F212" s="7">
        <v>0</v>
      </c>
      <c r="G212" s="7">
        <v>0</v>
      </c>
      <c r="H212" s="7">
        <v>0</v>
      </c>
      <c r="I212" s="1">
        <v>0</v>
      </c>
      <c r="J212" s="7">
        <v>0</v>
      </c>
      <c r="K212" s="1">
        <v>0</v>
      </c>
      <c r="L212" s="2">
        <v>0</v>
      </c>
      <c r="M212" s="1">
        <v>0</v>
      </c>
      <c r="N212" s="1">
        <v>460</v>
      </c>
      <c r="O212" s="1">
        <f>N212*7750</f>
        <v>3565000</v>
      </c>
      <c r="P212" s="1">
        <v>0</v>
      </c>
      <c r="Q212" s="1">
        <f t="shared" ref="Q212" si="158">P212*1400</f>
        <v>0</v>
      </c>
      <c r="R212" s="1">
        <v>0</v>
      </c>
      <c r="S212" s="1">
        <f t="shared" ref="S212" si="159">R212*3751</f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</row>
    <row r="213" spans="1:30" s="20" customFormat="1" ht="36" customHeight="1" x14ac:dyDescent="0.25">
      <c r="A213" s="2">
        <f t="shared" si="125"/>
        <v>189</v>
      </c>
      <c r="B213" s="6">
        <f t="shared" si="145"/>
        <v>189</v>
      </c>
      <c r="C213" s="19" t="s">
        <v>745</v>
      </c>
      <c r="D213" s="4">
        <f t="shared" si="121"/>
        <v>3521764</v>
      </c>
      <c r="E213" s="1">
        <f t="shared" si="126"/>
        <v>294264</v>
      </c>
      <c r="F213" s="1">
        <f>804*366</f>
        <v>294264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2">
        <v>0</v>
      </c>
      <c r="M213" s="1">
        <v>0</v>
      </c>
      <c r="N213" s="1">
        <v>410</v>
      </c>
      <c r="O213" s="1">
        <f>N213*7750</f>
        <v>3177500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50000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</row>
    <row r="214" spans="1:30" s="20" customFormat="1" ht="36" customHeight="1" x14ac:dyDescent="0.25">
      <c r="A214" s="2">
        <f t="shared" si="125"/>
        <v>190</v>
      </c>
      <c r="B214" s="6">
        <f t="shared" si="145"/>
        <v>190</v>
      </c>
      <c r="C214" s="19" t="s">
        <v>2087</v>
      </c>
      <c r="D214" s="4">
        <f t="shared" si="121"/>
        <v>3565000</v>
      </c>
      <c r="E214" s="1">
        <f t="shared" si="126"/>
        <v>0</v>
      </c>
      <c r="F214" s="7">
        <v>0</v>
      </c>
      <c r="G214" s="7">
        <v>0</v>
      </c>
      <c r="H214" s="7">
        <v>0</v>
      </c>
      <c r="I214" s="1">
        <v>0</v>
      </c>
      <c r="J214" s="7">
        <v>0</v>
      </c>
      <c r="K214" s="1">
        <v>0</v>
      </c>
      <c r="L214" s="2">
        <v>0</v>
      </c>
      <c r="M214" s="1">
        <v>0</v>
      </c>
      <c r="N214" s="1">
        <v>460</v>
      </c>
      <c r="O214" s="1">
        <f>N214*7750</f>
        <v>3565000</v>
      </c>
      <c r="P214" s="1">
        <v>0</v>
      </c>
      <c r="Q214" s="1">
        <f t="shared" ref="Q214" si="160">P214*1400</f>
        <v>0</v>
      </c>
      <c r="R214" s="1">
        <v>0</v>
      </c>
      <c r="S214" s="1">
        <f t="shared" ref="S214" si="161">R214*3751</f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</row>
    <row r="215" spans="1:30" s="20" customFormat="1" ht="36" customHeight="1" x14ac:dyDescent="0.25">
      <c r="A215" s="2">
        <f t="shared" si="125"/>
        <v>191</v>
      </c>
      <c r="B215" s="6">
        <f t="shared" ref="B215" si="162">A215</f>
        <v>191</v>
      </c>
      <c r="C215" s="19" t="s">
        <v>2088</v>
      </c>
      <c r="D215" s="4">
        <f t="shared" si="121"/>
        <v>2118168.4</v>
      </c>
      <c r="E215" s="1">
        <f t="shared" ref="E215" si="163">SUM(F215:K215)</f>
        <v>305198.40000000002</v>
      </c>
      <c r="F215" s="7">
        <f>804*379.6</f>
        <v>305198.40000000002</v>
      </c>
      <c r="G215" s="7">
        <v>0</v>
      </c>
      <c r="H215" s="7">
        <v>0</v>
      </c>
      <c r="I215" s="1">
        <v>0</v>
      </c>
      <c r="J215" s="7">
        <v>0</v>
      </c>
      <c r="K215" s="1">
        <v>0</v>
      </c>
      <c r="L215" s="2">
        <v>0</v>
      </c>
      <c r="M215" s="1">
        <v>0</v>
      </c>
      <c r="N215" s="1">
        <v>0</v>
      </c>
      <c r="O215" s="1">
        <v>0</v>
      </c>
      <c r="P215" s="1">
        <v>0</v>
      </c>
      <c r="Q215" s="1">
        <f t="shared" ref="Q215" si="164">P215*1400</f>
        <v>0</v>
      </c>
      <c r="R215" s="1">
        <v>470</v>
      </c>
      <c r="S215" s="1">
        <f t="shared" ref="S215" si="165">R215*3751</f>
        <v>1762970</v>
      </c>
      <c r="T215" s="1">
        <v>0</v>
      </c>
      <c r="U215" s="1">
        <v>50000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</row>
    <row r="216" spans="1:30" s="20" customFormat="1" ht="36" customHeight="1" x14ac:dyDescent="0.25">
      <c r="A216" s="2">
        <f t="shared" si="125"/>
        <v>192</v>
      </c>
      <c r="B216" s="6">
        <f t="shared" si="145"/>
        <v>192</v>
      </c>
      <c r="C216" s="19" t="s">
        <v>746</v>
      </c>
      <c r="D216" s="4">
        <f t="shared" si="121"/>
        <v>2328319.5</v>
      </c>
      <c r="E216" s="1">
        <f t="shared" si="126"/>
        <v>309459.59999999998</v>
      </c>
      <c r="F216" s="1">
        <f>804*384.9</f>
        <v>309459.59999999998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2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484.9</v>
      </c>
      <c r="S216" s="1">
        <f>R216*3751</f>
        <v>1818859.9</v>
      </c>
      <c r="T216" s="1">
        <v>150000</v>
      </c>
      <c r="U216" s="1">
        <v>50000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</row>
    <row r="217" spans="1:30" s="20" customFormat="1" ht="36" customHeight="1" x14ac:dyDescent="0.25">
      <c r="A217" s="2">
        <f t="shared" si="125"/>
        <v>193</v>
      </c>
      <c r="B217" s="6">
        <f t="shared" si="145"/>
        <v>193</v>
      </c>
      <c r="C217" s="19" t="s">
        <v>747</v>
      </c>
      <c r="D217" s="4">
        <f t="shared" si="121"/>
        <v>347078</v>
      </c>
      <c r="E217" s="1">
        <f t="shared" si="126"/>
        <v>297078</v>
      </c>
      <c r="F217" s="1">
        <f>804*369.5</f>
        <v>297078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2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50000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</row>
    <row r="218" spans="1:30" s="20" customFormat="1" ht="36" customHeight="1" x14ac:dyDescent="0.25">
      <c r="A218" s="2">
        <f t="shared" si="125"/>
        <v>194</v>
      </c>
      <c r="B218" s="6">
        <f t="shared" ref="B218:B219" si="166">A218</f>
        <v>194</v>
      </c>
      <c r="C218" s="19" t="s">
        <v>2089</v>
      </c>
      <c r="D218" s="4">
        <f t="shared" si="121"/>
        <v>2112942.4</v>
      </c>
      <c r="E218" s="1">
        <f t="shared" ref="E218:E219" si="167">SUM(F218:K218)</f>
        <v>299972.40000000002</v>
      </c>
      <c r="F218" s="7">
        <f>804*373.1</f>
        <v>299972.40000000002</v>
      </c>
      <c r="G218" s="7">
        <v>0</v>
      </c>
      <c r="H218" s="7">
        <v>0</v>
      </c>
      <c r="I218" s="1">
        <v>0</v>
      </c>
      <c r="J218" s="7">
        <v>0</v>
      </c>
      <c r="K218" s="1">
        <v>0</v>
      </c>
      <c r="L218" s="2">
        <v>0</v>
      </c>
      <c r="M218" s="1">
        <v>0</v>
      </c>
      <c r="N218" s="1">
        <v>0</v>
      </c>
      <c r="O218" s="1">
        <v>0</v>
      </c>
      <c r="P218" s="1">
        <v>0</v>
      </c>
      <c r="Q218" s="1">
        <f t="shared" ref="Q218:Q219" si="168">P218*1400</f>
        <v>0</v>
      </c>
      <c r="R218" s="1">
        <v>470</v>
      </c>
      <c r="S218" s="1">
        <f t="shared" ref="S218:S219" si="169">R218*3751</f>
        <v>1762970</v>
      </c>
      <c r="T218" s="1">
        <v>0</v>
      </c>
      <c r="U218" s="1">
        <v>50000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</row>
    <row r="219" spans="1:30" s="20" customFormat="1" ht="36" customHeight="1" x14ac:dyDescent="0.25">
      <c r="A219" s="2">
        <f t="shared" si="125"/>
        <v>195</v>
      </c>
      <c r="B219" s="6">
        <f t="shared" si="166"/>
        <v>195</v>
      </c>
      <c r="C219" s="19" t="s">
        <v>2094</v>
      </c>
      <c r="D219" s="4">
        <f t="shared" si="121"/>
        <v>1559970.7999999998</v>
      </c>
      <c r="E219" s="1">
        <f t="shared" si="167"/>
        <v>1509970.7999999998</v>
      </c>
      <c r="F219" s="7">
        <f>804*450.2</f>
        <v>361960.8</v>
      </c>
      <c r="G219" s="7">
        <f>1693*450.2</f>
        <v>762188.6</v>
      </c>
      <c r="H219" s="7">
        <f>390*450.2</f>
        <v>175578</v>
      </c>
      <c r="I219" s="1">
        <v>0</v>
      </c>
      <c r="J219" s="7">
        <f>467*450.2</f>
        <v>210243.4</v>
      </c>
      <c r="K219" s="1">
        <v>0</v>
      </c>
      <c r="L219" s="2">
        <v>0</v>
      </c>
      <c r="M219" s="1">
        <v>0</v>
      </c>
      <c r="N219" s="1">
        <v>0</v>
      </c>
      <c r="O219" s="1">
        <v>0</v>
      </c>
      <c r="P219" s="1">
        <v>0</v>
      </c>
      <c r="Q219" s="1">
        <f t="shared" si="168"/>
        <v>0</v>
      </c>
      <c r="R219" s="1">
        <v>0</v>
      </c>
      <c r="S219" s="1">
        <f t="shared" si="169"/>
        <v>0</v>
      </c>
      <c r="T219" s="1">
        <v>0</v>
      </c>
      <c r="U219" s="1">
        <v>50000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</row>
    <row r="220" spans="1:30" s="20" customFormat="1" ht="36" customHeight="1" x14ac:dyDescent="0.25">
      <c r="A220" s="2">
        <f t="shared" si="125"/>
        <v>196</v>
      </c>
      <c r="B220" s="6">
        <f t="shared" si="71"/>
        <v>196</v>
      </c>
      <c r="C220" s="19" t="s">
        <v>125</v>
      </c>
      <c r="D220" s="4">
        <f t="shared" si="121"/>
        <v>14997879.07</v>
      </c>
      <c r="E220" s="1">
        <f t="shared" si="126"/>
        <v>5503243.1999999993</v>
      </c>
      <c r="F220" s="7">
        <f>804*1640.8</f>
        <v>1319203.2</v>
      </c>
      <c r="G220" s="1">
        <f>1693*1640.8</f>
        <v>2777874.4</v>
      </c>
      <c r="H220" s="1">
        <f>390*1640.8</f>
        <v>639912</v>
      </c>
      <c r="I220" s="1">
        <v>0</v>
      </c>
      <c r="J220" s="1">
        <f>467*1640.8</f>
        <v>766253.6</v>
      </c>
      <c r="K220" s="1">
        <v>0</v>
      </c>
      <c r="L220" s="2">
        <v>0</v>
      </c>
      <c r="M220" s="1">
        <v>0</v>
      </c>
      <c r="N220" s="1">
        <v>850</v>
      </c>
      <c r="O220" s="1">
        <f>N220*7750</f>
        <v>6587500</v>
      </c>
      <c r="P220" s="1">
        <v>0</v>
      </c>
      <c r="Q220" s="1">
        <f t="shared" si="127"/>
        <v>0</v>
      </c>
      <c r="R220" s="1">
        <v>748.37</v>
      </c>
      <c r="S220" s="1">
        <f t="shared" si="128"/>
        <v>2807135.87</v>
      </c>
      <c r="T220" s="1">
        <v>0</v>
      </c>
      <c r="U220" s="1">
        <v>50000</v>
      </c>
      <c r="V220" s="1">
        <v>0</v>
      </c>
      <c r="W220" s="1">
        <v>50000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</row>
    <row r="221" spans="1:30" s="20" customFormat="1" ht="36" customHeight="1" x14ac:dyDescent="0.25">
      <c r="A221" s="2">
        <f t="shared" si="125"/>
        <v>197</v>
      </c>
      <c r="B221" s="6">
        <f t="shared" si="71"/>
        <v>197</v>
      </c>
      <c r="C221" s="19" t="s">
        <v>126</v>
      </c>
      <c r="D221" s="4">
        <f t="shared" si="121"/>
        <v>14976748.870000001</v>
      </c>
      <c r="E221" s="1">
        <f t="shared" si="126"/>
        <v>5482113</v>
      </c>
      <c r="F221" s="7">
        <f>804*1634.5</f>
        <v>1314138</v>
      </c>
      <c r="G221" s="1">
        <f>1693*1634.5</f>
        <v>2767208.5</v>
      </c>
      <c r="H221" s="1">
        <f>390*1634.5</f>
        <v>637455</v>
      </c>
      <c r="I221" s="1">
        <v>0</v>
      </c>
      <c r="J221" s="1">
        <f>467*1634.5</f>
        <v>763311.5</v>
      </c>
      <c r="K221" s="1">
        <v>0</v>
      </c>
      <c r="L221" s="2">
        <v>0</v>
      </c>
      <c r="M221" s="1">
        <v>0</v>
      </c>
      <c r="N221" s="1">
        <v>850</v>
      </c>
      <c r="O221" s="1">
        <f>N221*7750</f>
        <v>6587500</v>
      </c>
      <c r="P221" s="1">
        <v>0</v>
      </c>
      <c r="Q221" s="1">
        <f t="shared" si="127"/>
        <v>0</v>
      </c>
      <c r="R221" s="1">
        <v>748.37</v>
      </c>
      <c r="S221" s="1">
        <f t="shared" si="128"/>
        <v>2807135.87</v>
      </c>
      <c r="T221" s="1">
        <v>0</v>
      </c>
      <c r="U221" s="1">
        <v>50000</v>
      </c>
      <c r="V221" s="1">
        <v>0</v>
      </c>
      <c r="W221" s="1">
        <v>50000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</row>
    <row r="222" spans="1:30" s="20" customFormat="1" ht="54.95" customHeight="1" x14ac:dyDescent="0.25">
      <c r="A222" s="3"/>
      <c r="B222" s="47" t="s">
        <v>1999</v>
      </c>
      <c r="C222" s="48"/>
      <c r="D222" s="4">
        <f>SUM(D223:D264)</f>
        <v>367067782.56000006</v>
      </c>
      <c r="E222" s="4">
        <f t="shared" ref="E222:AD222" si="170">SUM(E223:E264)</f>
        <v>183416249.59999999</v>
      </c>
      <c r="F222" s="4">
        <f t="shared" si="170"/>
        <v>42711535.20000001</v>
      </c>
      <c r="G222" s="4">
        <f t="shared" si="170"/>
        <v>84806263.900000021</v>
      </c>
      <c r="H222" s="4">
        <f t="shared" si="170"/>
        <v>18714657</v>
      </c>
      <c r="I222" s="4">
        <f t="shared" si="170"/>
        <v>14140472.4</v>
      </c>
      <c r="J222" s="4">
        <f t="shared" si="170"/>
        <v>23043321.100000005</v>
      </c>
      <c r="K222" s="4">
        <f t="shared" si="170"/>
        <v>0</v>
      </c>
      <c r="L222" s="17">
        <f t="shared" si="170"/>
        <v>11</v>
      </c>
      <c r="M222" s="4">
        <f t="shared" si="170"/>
        <v>38500000</v>
      </c>
      <c r="N222" s="4">
        <f t="shared" si="170"/>
        <v>11432.1</v>
      </c>
      <c r="O222" s="4">
        <f t="shared" si="170"/>
        <v>85897281.799999997</v>
      </c>
      <c r="P222" s="4">
        <f t="shared" si="170"/>
        <v>312</v>
      </c>
      <c r="Q222" s="4">
        <f t="shared" si="170"/>
        <v>436800</v>
      </c>
      <c r="R222" s="4">
        <f t="shared" si="170"/>
        <v>14001.16</v>
      </c>
      <c r="S222" s="4">
        <f t="shared" si="170"/>
        <v>56117451.160000004</v>
      </c>
      <c r="T222" s="4">
        <f t="shared" si="170"/>
        <v>0</v>
      </c>
      <c r="U222" s="4">
        <f t="shared" si="170"/>
        <v>2400000</v>
      </c>
      <c r="V222" s="4">
        <f t="shared" si="170"/>
        <v>0</v>
      </c>
      <c r="W222" s="4">
        <f t="shared" si="170"/>
        <v>300000</v>
      </c>
      <c r="X222" s="4">
        <f t="shared" si="170"/>
        <v>0</v>
      </c>
      <c r="Y222" s="4">
        <f t="shared" si="170"/>
        <v>0</v>
      </c>
      <c r="Z222" s="4">
        <f t="shared" si="170"/>
        <v>0</v>
      </c>
      <c r="AA222" s="4">
        <f t="shared" si="170"/>
        <v>0</v>
      </c>
      <c r="AB222" s="4">
        <f t="shared" si="170"/>
        <v>0</v>
      </c>
      <c r="AC222" s="4">
        <f t="shared" si="170"/>
        <v>0</v>
      </c>
      <c r="AD222" s="4">
        <f t="shared" si="170"/>
        <v>0</v>
      </c>
    </row>
    <row r="223" spans="1:30" s="20" customFormat="1" ht="36" customHeight="1" x14ac:dyDescent="0.25">
      <c r="A223" s="2">
        <f>ROW()-ROW($A$11)-14</f>
        <v>198</v>
      </c>
      <c r="B223" s="6">
        <f t="shared" ref="B223:B237" si="171">A223</f>
        <v>198</v>
      </c>
      <c r="C223" s="29" t="s">
        <v>1702</v>
      </c>
      <c r="D223" s="4">
        <f t="shared" ref="D223:D264" si="172">E223+M223+O223+Q223+S223+T223+U223+V223+W223+X223+Z223+AA223+AB223+AC223+AD223</f>
        <v>21200000</v>
      </c>
      <c r="E223" s="1">
        <f t="shared" ref="E223" si="173">SUM(F223:K223)</f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2">
        <v>6</v>
      </c>
      <c r="M223" s="1">
        <f t="shared" ref="M223:M237" si="174">L223*3500000</f>
        <v>21000000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200000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</row>
    <row r="224" spans="1:30" s="20" customFormat="1" ht="36" customHeight="1" x14ac:dyDescent="0.25">
      <c r="A224" s="2">
        <f>ROW()-ROW($A$11)-14</f>
        <v>199</v>
      </c>
      <c r="B224" s="6">
        <f>A224</f>
        <v>199</v>
      </c>
      <c r="C224" s="29" t="s">
        <v>2226</v>
      </c>
      <c r="D224" s="4">
        <f t="shared" si="172"/>
        <v>3700000</v>
      </c>
      <c r="E224" s="1">
        <f>SUM(F224:K224)</f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2">
        <v>1</v>
      </c>
      <c r="M224" s="1">
        <f>L224*3500000</f>
        <v>3500000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200000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</row>
    <row r="225" spans="1:30" s="20" customFormat="1" ht="36" customHeight="1" x14ac:dyDescent="0.25">
      <c r="A225" s="2">
        <f t="shared" ref="A225:A264" si="175">ROW()-ROW($A$11)-14</f>
        <v>200</v>
      </c>
      <c r="B225" s="6">
        <f t="shared" si="171"/>
        <v>200</v>
      </c>
      <c r="C225" s="29" t="s">
        <v>2097</v>
      </c>
      <c r="D225" s="4">
        <f t="shared" si="172"/>
        <v>38107977.5</v>
      </c>
      <c r="E225" s="1">
        <f t="shared" ref="E225:E237" si="176">SUM(F225:K225)</f>
        <v>38057977.5</v>
      </c>
      <c r="F225" s="1">
        <f>804*9696.3</f>
        <v>7795825.1999999993</v>
      </c>
      <c r="G225" s="1">
        <f>1693*9696.3</f>
        <v>16415835.899999999</v>
      </c>
      <c r="H225" s="1">
        <f>390*9696.3</f>
        <v>3781556.9999999995</v>
      </c>
      <c r="I225" s="1">
        <f>571*9696.3</f>
        <v>5536587.2999999998</v>
      </c>
      <c r="J225" s="1">
        <f>467*9696.3</f>
        <v>4528172.0999999996</v>
      </c>
      <c r="K225" s="1">
        <v>0</v>
      </c>
      <c r="L225" s="2">
        <v>0</v>
      </c>
      <c r="M225" s="1">
        <f t="shared" si="174"/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50000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</row>
    <row r="226" spans="1:30" s="20" customFormat="1" ht="36" customHeight="1" x14ac:dyDescent="0.25">
      <c r="A226" s="2">
        <f t="shared" si="175"/>
        <v>201</v>
      </c>
      <c r="B226" s="6">
        <f t="shared" si="171"/>
        <v>201</v>
      </c>
      <c r="C226" s="29" t="s">
        <v>2098</v>
      </c>
      <c r="D226" s="4">
        <f t="shared" si="172"/>
        <v>37854815</v>
      </c>
      <c r="E226" s="1">
        <f t="shared" si="176"/>
        <v>37804815</v>
      </c>
      <c r="F226" s="1">
        <f>804*9631.8</f>
        <v>7743967.1999999993</v>
      </c>
      <c r="G226" s="1">
        <f>1693*9631.8</f>
        <v>16306637.399999999</v>
      </c>
      <c r="H226" s="1">
        <f>390*9631.8</f>
        <v>3756401.9999999995</v>
      </c>
      <c r="I226" s="1">
        <f>571*9631.8</f>
        <v>5499757.7999999998</v>
      </c>
      <c r="J226" s="1">
        <f>467*9631.8</f>
        <v>4498050.5999999996</v>
      </c>
      <c r="K226" s="1">
        <v>0</v>
      </c>
      <c r="L226" s="2">
        <v>0</v>
      </c>
      <c r="M226" s="1">
        <f t="shared" si="174"/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50000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</row>
    <row r="227" spans="1:30" s="20" customFormat="1" ht="36" customHeight="1" x14ac:dyDescent="0.25">
      <c r="A227" s="2">
        <f t="shared" si="175"/>
        <v>202</v>
      </c>
      <c r="B227" s="6">
        <f t="shared" si="171"/>
        <v>202</v>
      </c>
      <c r="C227" s="29" t="s">
        <v>2099</v>
      </c>
      <c r="D227" s="4">
        <f t="shared" si="172"/>
        <v>9082380.3999999985</v>
      </c>
      <c r="E227" s="1">
        <f t="shared" si="176"/>
        <v>6087845.3999999994</v>
      </c>
      <c r="F227" s="1">
        <f>804*1815.1</f>
        <v>1459340.4</v>
      </c>
      <c r="G227" s="1">
        <f>1693*1815.1</f>
        <v>3072964.3</v>
      </c>
      <c r="H227" s="1">
        <f>390*1815.1</f>
        <v>707889</v>
      </c>
      <c r="I227" s="1">
        <v>0</v>
      </c>
      <c r="J227" s="1">
        <f>467*1815.1</f>
        <v>847651.7</v>
      </c>
      <c r="K227" s="1">
        <v>0</v>
      </c>
      <c r="L227" s="2">
        <v>0</v>
      </c>
      <c r="M227" s="1">
        <f t="shared" si="174"/>
        <v>0</v>
      </c>
      <c r="N227" s="1">
        <v>0</v>
      </c>
      <c r="O227" s="1">
        <v>0</v>
      </c>
      <c r="P227" s="1">
        <v>0</v>
      </c>
      <c r="Q227" s="1">
        <v>0</v>
      </c>
      <c r="R227" s="1">
        <v>785</v>
      </c>
      <c r="S227" s="1">
        <f>R227*3751</f>
        <v>2944535</v>
      </c>
      <c r="T227" s="1">
        <v>0</v>
      </c>
      <c r="U227" s="1">
        <v>50000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</row>
    <row r="228" spans="1:30" s="20" customFormat="1" ht="36" customHeight="1" x14ac:dyDescent="0.25">
      <c r="A228" s="2">
        <f t="shared" si="175"/>
        <v>203</v>
      </c>
      <c r="B228" s="6">
        <f t="shared" si="171"/>
        <v>203</v>
      </c>
      <c r="C228" s="29" t="s">
        <v>2100</v>
      </c>
      <c r="D228" s="4">
        <f t="shared" si="172"/>
        <v>4393028.8</v>
      </c>
      <c r="E228" s="1">
        <f t="shared" si="176"/>
        <v>554518.80000000005</v>
      </c>
      <c r="F228" s="1">
        <f>804*689.7</f>
        <v>554518.80000000005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2">
        <v>0</v>
      </c>
      <c r="M228" s="1">
        <f t="shared" si="174"/>
        <v>0</v>
      </c>
      <c r="N228" s="1">
        <v>0</v>
      </c>
      <c r="O228" s="1">
        <v>0</v>
      </c>
      <c r="P228" s="1">
        <v>0</v>
      </c>
      <c r="Q228" s="1">
        <v>0</v>
      </c>
      <c r="R228" s="1">
        <v>1010</v>
      </c>
      <c r="S228" s="1">
        <f t="shared" ref="S228:S232" si="177">R228*3751</f>
        <v>3788510</v>
      </c>
      <c r="T228" s="1">
        <v>0</v>
      </c>
      <c r="U228" s="1">
        <v>50000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</row>
    <row r="229" spans="1:30" s="20" customFormat="1" ht="36" customHeight="1" x14ac:dyDescent="0.25">
      <c r="A229" s="2">
        <f t="shared" si="175"/>
        <v>204</v>
      </c>
      <c r="B229" s="6">
        <f t="shared" si="171"/>
        <v>204</v>
      </c>
      <c r="C229" s="29" t="s">
        <v>2101</v>
      </c>
      <c r="D229" s="4">
        <f t="shared" si="172"/>
        <v>3708164.4</v>
      </c>
      <c r="E229" s="1">
        <f t="shared" si="176"/>
        <v>390020.4</v>
      </c>
      <c r="F229" s="1">
        <f>804*485.1</f>
        <v>390020.4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2">
        <v>0</v>
      </c>
      <c r="M229" s="1">
        <f t="shared" si="174"/>
        <v>0</v>
      </c>
      <c r="N229" s="1">
        <v>255.2</v>
      </c>
      <c r="O229" s="1">
        <f>N229*7750</f>
        <v>1977800</v>
      </c>
      <c r="P229" s="1">
        <v>0</v>
      </c>
      <c r="Q229" s="1">
        <v>0</v>
      </c>
      <c r="R229" s="1">
        <v>344</v>
      </c>
      <c r="S229" s="1">
        <f t="shared" si="177"/>
        <v>1290344</v>
      </c>
      <c r="T229" s="1">
        <v>0</v>
      </c>
      <c r="U229" s="1">
        <v>50000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</row>
    <row r="230" spans="1:30" s="20" customFormat="1" ht="36" customHeight="1" x14ac:dyDescent="0.25">
      <c r="A230" s="2">
        <f t="shared" si="175"/>
        <v>205</v>
      </c>
      <c r="B230" s="2">
        <f t="shared" si="171"/>
        <v>205</v>
      </c>
      <c r="C230" s="29" t="s">
        <v>2102</v>
      </c>
      <c r="D230" s="39">
        <f t="shared" si="172"/>
        <v>5008639</v>
      </c>
      <c r="E230" s="1">
        <f t="shared" si="176"/>
        <v>397578</v>
      </c>
      <c r="F230" s="1">
        <f>804*494.5</f>
        <v>397578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2">
        <v>0</v>
      </c>
      <c r="M230" s="1">
        <f t="shared" si="174"/>
        <v>0</v>
      </c>
      <c r="N230" s="1">
        <v>377.5</v>
      </c>
      <c r="O230" s="1">
        <f>N230*7750</f>
        <v>2925625</v>
      </c>
      <c r="P230" s="1">
        <v>0</v>
      </c>
      <c r="Q230" s="1">
        <v>0</v>
      </c>
      <c r="R230" s="1">
        <v>436</v>
      </c>
      <c r="S230" s="1">
        <f t="shared" si="177"/>
        <v>1635436</v>
      </c>
      <c r="T230" s="1">
        <v>0</v>
      </c>
      <c r="U230" s="1">
        <v>50000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</row>
    <row r="231" spans="1:30" s="20" customFormat="1" ht="36" customHeight="1" x14ac:dyDescent="0.25">
      <c r="A231" s="2">
        <f t="shared" si="175"/>
        <v>206</v>
      </c>
      <c r="B231" s="2">
        <f t="shared" si="171"/>
        <v>206</v>
      </c>
      <c r="C231" s="29" t="s">
        <v>2103</v>
      </c>
      <c r="D231" s="39">
        <f t="shared" si="172"/>
        <v>5186885.8</v>
      </c>
      <c r="E231" s="1">
        <f t="shared" si="176"/>
        <v>575824.80000000005</v>
      </c>
      <c r="F231" s="1">
        <f>804*716.2</f>
        <v>575824.80000000005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2">
        <v>0</v>
      </c>
      <c r="M231" s="1">
        <f t="shared" si="174"/>
        <v>0</v>
      </c>
      <c r="N231" s="1">
        <v>377.5</v>
      </c>
      <c r="O231" s="1">
        <f>N231*7750</f>
        <v>2925625</v>
      </c>
      <c r="P231" s="1">
        <v>0</v>
      </c>
      <c r="Q231" s="1">
        <v>0</v>
      </c>
      <c r="R231" s="1">
        <v>436</v>
      </c>
      <c r="S231" s="1">
        <f t="shared" si="177"/>
        <v>1635436</v>
      </c>
      <c r="T231" s="1">
        <v>0</v>
      </c>
      <c r="U231" s="1">
        <v>50000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</row>
    <row r="232" spans="1:30" s="20" customFormat="1" ht="36" customHeight="1" x14ac:dyDescent="0.25">
      <c r="A232" s="2">
        <f t="shared" si="175"/>
        <v>207</v>
      </c>
      <c r="B232" s="6">
        <f t="shared" si="171"/>
        <v>207</v>
      </c>
      <c r="C232" s="29" t="s">
        <v>2104</v>
      </c>
      <c r="D232" s="4">
        <f t="shared" si="172"/>
        <v>9904331</v>
      </c>
      <c r="E232" s="1">
        <f t="shared" si="176"/>
        <v>5625741</v>
      </c>
      <c r="F232" s="1">
        <f>804*2253</f>
        <v>1811412</v>
      </c>
      <c r="G232" s="1">
        <f>1693*2253</f>
        <v>3814329</v>
      </c>
      <c r="H232" s="1">
        <v>0</v>
      </c>
      <c r="I232" s="1">
        <v>0</v>
      </c>
      <c r="J232" s="1">
        <v>0</v>
      </c>
      <c r="K232" s="1">
        <v>0</v>
      </c>
      <c r="L232" s="2">
        <v>0</v>
      </c>
      <c r="M232" s="1">
        <f t="shared" si="174"/>
        <v>0</v>
      </c>
      <c r="N232" s="1">
        <v>0</v>
      </c>
      <c r="O232" s="1">
        <v>0</v>
      </c>
      <c r="P232" s="1">
        <v>100</v>
      </c>
      <c r="Q232" s="1">
        <f>P232*1400</f>
        <v>140000</v>
      </c>
      <c r="R232" s="1">
        <v>1090</v>
      </c>
      <c r="S232" s="1">
        <f t="shared" si="177"/>
        <v>4088590</v>
      </c>
      <c r="T232" s="1">
        <v>0</v>
      </c>
      <c r="U232" s="1">
        <v>50000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</row>
    <row r="233" spans="1:30" s="20" customFormat="1" ht="36" customHeight="1" x14ac:dyDescent="0.25">
      <c r="A233" s="2">
        <f t="shared" si="175"/>
        <v>208</v>
      </c>
      <c r="B233" s="6">
        <f t="shared" si="171"/>
        <v>208</v>
      </c>
      <c r="C233" s="29" t="s">
        <v>1703</v>
      </c>
      <c r="D233" s="4">
        <f t="shared" si="172"/>
        <v>7200000</v>
      </c>
      <c r="E233" s="1">
        <f t="shared" si="176"/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2">
        <v>2</v>
      </c>
      <c r="M233" s="1">
        <f t="shared" si="174"/>
        <v>7000000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200000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</row>
    <row r="234" spans="1:30" s="20" customFormat="1" ht="36" customHeight="1" x14ac:dyDescent="0.25">
      <c r="A234" s="2">
        <f t="shared" si="175"/>
        <v>209</v>
      </c>
      <c r="B234" s="6">
        <f t="shared" si="171"/>
        <v>209</v>
      </c>
      <c r="C234" s="29" t="s">
        <v>1704</v>
      </c>
      <c r="D234" s="4">
        <f t="shared" si="172"/>
        <v>7200000</v>
      </c>
      <c r="E234" s="1">
        <f t="shared" si="176"/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2">
        <v>2</v>
      </c>
      <c r="M234" s="1">
        <f t="shared" si="174"/>
        <v>7000000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200000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</row>
    <row r="235" spans="1:30" s="20" customFormat="1" ht="36" customHeight="1" x14ac:dyDescent="0.25">
      <c r="A235" s="2">
        <f t="shared" si="175"/>
        <v>210</v>
      </c>
      <c r="B235" s="6">
        <f t="shared" si="171"/>
        <v>210</v>
      </c>
      <c r="C235" s="29" t="s">
        <v>2105</v>
      </c>
      <c r="D235" s="4">
        <f t="shared" si="172"/>
        <v>4716220</v>
      </c>
      <c r="E235" s="1">
        <f t="shared" si="176"/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2">
        <v>0</v>
      </c>
      <c r="M235" s="1">
        <f t="shared" si="174"/>
        <v>0</v>
      </c>
      <c r="N235" s="1">
        <v>0</v>
      </c>
      <c r="O235" s="1">
        <v>0</v>
      </c>
      <c r="P235" s="1">
        <v>100</v>
      </c>
      <c r="Q235" s="1">
        <f>P235*1400</f>
        <v>140000</v>
      </c>
      <c r="R235" s="1">
        <v>1220</v>
      </c>
      <c r="S235" s="1">
        <f>R235*3751</f>
        <v>4576220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</row>
    <row r="236" spans="1:30" s="20" customFormat="1" ht="36" customHeight="1" x14ac:dyDescent="0.25">
      <c r="A236" s="2">
        <f t="shared" si="175"/>
        <v>211</v>
      </c>
      <c r="B236" s="6">
        <f t="shared" si="171"/>
        <v>211</v>
      </c>
      <c r="C236" s="29" t="s">
        <v>2106</v>
      </c>
      <c r="D236" s="4">
        <f t="shared" si="172"/>
        <v>5876907</v>
      </c>
      <c r="E236" s="1">
        <f t="shared" si="176"/>
        <v>5826907</v>
      </c>
      <c r="F236" s="1">
        <v>0</v>
      </c>
      <c r="G236" s="1">
        <f>1693*1867</f>
        <v>3160831</v>
      </c>
      <c r="H236" s="1">
        <f>390*1867</f>
        <v>728130</v>
      </c>
      <c r="I236" s="1">
        <f>571*1867</f>
        <v>1066057</v>
      </c>
      <c r="J236" s="1">
        <f>467*1867</f>
        <v>871889</v>
      </c>
      <c r="K236" s="1">
        <v>0</v>
      </c>
      <c r="L236" s="2">
        <v>0</v>
      </c>
      <c r="M236" s="1">
        <f t="shared" si="174"/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50000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</row>
    <row r="237" spans="1:30" s="20" customFormat="1" ht="36" customHeight="1" x14ac:dyDescent="0.25">
      <c r="A237" s="2">
        <f t="shared" si="175"/>
        <v>212</v>
      </c>
      <c r="B237" s="6">
        <f t="shared" si="171"/>
        <v>212</v>
      </c>
      <c r="C237" s="29" t="s">
        <v>2107</v>
      </c>
      <c r="D237" s="4">
        <f t="shared" si="172"/>
        <v>16853765</v>
      </c>
      <c r="E237" s="1">
        <f t="shared" si="176"/>
        <v>12854205</v>
      </c>
      <c r="F237" s="1">
        <f>804*3832.5</f>
        <v>3081330</v>
      </c>
      <c r="G237" s="1">
        <f>1693*3832.5</f>
        <v>6488422.5</v>
      </c>
      <c r="H237" s="1">
        <f>390*3832.5</f>
        <v>1494675</v>
      </c>
      <c r="I237" s="1">
        <v>0</v>
      </c>
      <c r="J237" s="1">
        <f>467*3832.5</f>
        <v>1789777.5</v>
      </c>
      <c r="K237" s="1">
        <v>0</v>
      </c>
      <c r="L237" s="2">
        <v>0</v>
      </c>
      <c r="M237" s="1">
        <f t="shared" si="174"/>
        <v>0</v>
      </c>
      <c r="N237" s="1">
        <v>795</v>
      </c>
      <c r="O237" s="1">
        <f>N237*4968</f>
        <v>3949560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50000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</row>
    <row r="238" spans="1:30" s="20" customFormat="1" ht="36" customHeight="1" x14ac:dyDescent="0.25">
      <c r="A238" s="2">
        <f t="shared" si="175"/>
        <v>213</v>
      </c>
      <c r="B238" s="6">
        <f t="shared" si="71"/>
        <v>213</v>
      </c>
      <c r="C238" s="29" t="s">
        <v>129</v>
      </c>
      <c r="D238" s="4">
        <f t="shared" si="172"/>
        <v>16274733.4</v>
      </c>
      <c r="E238" s="1">
        <f t="shared" ref="E238:E264" si="178">SUM(F238:K238)</f>
        <v>3204733.4000000004</v>
      </c>
      <c r="F238" s="1">
        <f>804*1929.4</f>
        <v>1551237.6</v>
      </c>
      <c r="G238" s="1">
        <v>0</v>
      </c>
      <c r="H238" s="1">
        <f>390*1929.4</f>
        <v>752466</v>
      </c>
      <c r="I238" s="1">
        <v>0</v>
      </c>
      <c r="J238" s="1">
        <f>467*1929.4</f>
        <v>901029.8</v>
      </c>
      <c r="K238" s="1">
        <v>0</v>
      </c>
      <c r="L238" s="2">
        <v>0</v>
      </c>
      <c r="M238" s="1">
        <v>0</v>
      </c>
      <c r="N238" s="1">
        <v>780</v>
      </c>
      <c r="O238" s="1">
        <f>N238*7750</f>
        <v>6045000</v>
      </c>
      <c r="P238" s="1">
        <v>0</v>
      </c>
      <c r="Q238" s="1">
        <v>0</v>
      </c>
      <c r="R238" s="1">
        <v>900</v>
      </c>
      <c r="S238" s="1">
        <f>R238*7750</f>
        <v>6975000</v>
      </c>
      <c r="T238" s="1">
        <v>0</v>
      </c>
      <c r="U238" s="1">
        <v>50000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</row>
    <row r="239" spans="1:30" s="20" customFormat="1" ht="36" customHeight="1" x14ac:dyDescent="0.25">
      <c r="A239" s="2">
        <f t="shared" si="175"/>
        <v>214</v>
      </c>
      <c r="B239" s="6">
        <f>A239</f>
        <v>214</v>
      </c>
      <c r="C239" s="29" t="s">
        <v>2110</v>
      </c>
      <c r="D239" s="4">
        <f t="shared" si="172"/>
        <v>11885595.200000001</v>
      </c>
      <c r="E239" s="1">
        <f>SUM(F239:K239)</f>
        <v>11835595.200000001</v>
      </c>
      <c r="F239" s="1">
        <f>804*3528.8</f>
        <v>2837155.2</v>
      </c>
      <c r="G239" s="1">
        <f>1693*3528.8</f>
        <v>5974258.4000000004</v>
      </c>
      <c r="H239" s="1">
        <f>390*3528.8</f>
        <v>1376232</v>
      </c>
      <c r="I239" s="1">
        <v>0</v>
      </c>
      <c r="J239" s="1">
        <f>467*3528.8</f>
        <v>1647949.6</v>
      </c>
      <c r="K239" s="1">
        <v>0</v>
      </c>
      <c r="L239" s="2">
        <v>0</v>
      </c>
      <c r="M239" s="1">
        <f>L239*3500000</f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50000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</row>
    <row r="240" spans="1:30" s="20" customFormat="1" ht="36" customHeight="1" x14ac:dyDescent="0.25">
      <c r="A240" s="2">
        <f t="shared" si="175"/>
        <v>215</v>
      </c>
      <c r="B240" s="6">
        <f t="shared" si="71"/>
        <v>215</v>
      </c>
      <c r="C240" s="29" t="s">
        <v>133</v>
      </c>
      <c r="D240" s="4">
        <f t="shared" si="172"/>
        <v>17280822.960000001</v>
      </c>
      <c r="E240" s="1">
        <f t="shared" si="178"/>
        <v>14009502.500000002</v>
      </c>
      <c r="F240" s="1">
        <f>804*3569.3</f>
        <v>2869717.2</v>
      </c>
      <c r="G240" s="1">
        <f>1693*3569.3</f>
        <v>6042824.9000000004</v>
      </c>
      <c r="H240" s="1">
        <f>390*3569.3</f>
        <v>1392027</v>
      </c>
      <c r="I240" s="1">
        <f>571*3569.3</f>
        <v>2038070.3</v>
      </c>
      <c r="J240" s="1">
        <f>467*3569.3</f>
        <v>1666863.1</v>
      </c>
      <c r="K240" s="1">
        <v>0</v>
      </c>
      <c r="L240" s="2">
        <v>0</v>
      </c>
      <c r="M240" s="1">
        <v>0</v>
      </c>
      <c r="N240" s="1">
        <v>0</v>
      </c>
      <c r="O240" s="1">
        <v>0</v>
      </c>
      <c r="P240" s="1">
        <v>0</v>
      </c>
      <c r="Q240" s="1">
        <f t="shared" ref="Q240:Q264" si="179">P240*1400</f>
        <v>0</v>
      </c>
      <c r="R240" s="1">
        <v>845.46</v>
      </c>
      <c r="S240" s="1">
        <f t="shared" ref="S240:S264" si="180">R240*3751</f>
        <v>3171320.46</v>
      </c>
      <c r="T240" s="1">
        <v>0</v>
      </c>
      <c r="U240" s="1">
        <v>50000</v>
      </c>
      <c r="V240" s="1">
        <v>0</v>
      </c>
      <c r="W240" s="1">
        <v>50000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</row>
    <row r="241" spans="1:30" s="20" customFormat="1" ht="36" customHeight="1" x14ac:dyDescent="0.25">
      <c r="A241" s="2">
        <f t="shared" si="175"/>
        <v>216</v>
      </c>
      <c r="B241" s="6">
        <f t="shared" si="71"/>
        <v>216</v>
      </c>
      <c r="C241" s="19" t="s">
        <v>134</v>
      </c>
      <c r="D241" s="4">
        <f t="shared" si="172"/>
        <v>7578670</v>
      </c>
      <c r="E241" s="1">
        <f t="shared" si="178"/>
        <v>2931120</v>
      </c>
      <c r="F241" s="1">
        <v>0</v>
      </c>
      <c r="G241" s="1">
        <f>1693*1357</f>
        <v>2297401</v>
      </c>
      <c r="H241" s="1">
        <v>0</v>
      </c>
      <c r="I241" s="1">
        <v>0</v>
      </c>
      <c r="J241" s="1">
        <f>467*1357</f>
        <v>633719</v>
      </c>
      <c r="K241" s="1">
        <v>0</v>
      </c>
      <c r="L241" s="2">
        <v>0</v>
      </c>
      <c r="M241" s="1">
        <v>0</v>
      </c>
      <c r="N241" s="1">
        <v>573</v>
      </c>
      <c r="O241" s="1">
        <f>N241*7750</f>
        <v>4440750</v>
      </c>
      <c r="P241" s="1">
        <v>112</v>
      </c>
      <c r="Q241" s="1">
        <f t="shared" si="179"/>
        <v>156800</v>
      </c>
      <c r="R241" s="1">
        <v>0</v>
      </c>
      <c r="S241" s="1">
        <f t="shared" si="180"/>
        <v>0</v>
      </c>
      <c r="T241" s="1">
        <v>0</v>
      </c>
      <c r="U241" s="1">
        <v>50000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</row>
    <row r="242" spans="1:30" s="20" customFormat="1" ht="36" customHeight="1" x14ac:dyDescent="0.25">
      <c r="A242" s="2">
        <f t="shared" si="175"/>
        <v>217</v>
      </c>
      <c r="B242" s="6">
        <f t="shared" ref="B242" si="181">A242</f>
        <v>217</v>
      </c>
      <c r="C242" s="29" t="s">
        <v>2233</v>
      </c>
      <c r="D242" s="4">
        <f t="shared" si="172"/>
        <v>21135068.399999999</v>
      </c>
      <c r="E242" s="1">
        <f t="shared" ref="E242" si="182">SUM(F242:K242)</f>
        <v>8433968.3999999985</v>
      </c>
      <c r="F242" s="1">
        <f>804*2514.6</f>
        <v>2021738.4</v>
      </c>
      <c r="G242" s="1">
        <f>1693*2514.6</f>
        <v>4257217.8</v>
      </c>
      <c r="H242" s="1">
        <f>390*2514.6</f>
        <v>980694</v>
      </c>
      <c r="I242" s="1">
        <v>0</v>
      </c>
      <c r="J242" s="1">
        <f>467*2514.6</f>
        <v>1174318.2</v>
      </c>
      <c r="K242" s="1">
        <v>0</v>
      </c>
      <c r="L242" s="2">
        <v>0</v>
      </c>
      <c r="M242" s="1">
        <v>0</v>
      </c>
      <c r="N242" s="1">
        <v>1100</v>
      </c>
      <c r="O242" s="1">
        <f>N242*7750</f>
        <v>8525000</v>
      </c>
      <c r="P242" s="1">
        <v>0</v>
      </c>
      <c r="Q242" s="1">
        <f t="shared" ref="Q242" si="183">P242*1400</f>
        <v>0</v>
      </c>
      <c r="R242" s="1">
        <v>1100</v>
      </c>
      <c r="S242" s="1">
        <f t="shared" ref="S242" si="184">R242*3751</f>
        <v>4126100</v>
      </c>
      <c r="T242" s="1">
        <v>0</v>
      </c>
      <c r="U242" s="1">
        <v>50000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</row>
    <row r="243" spans="1:30" s="20" customFormat="1" ht="36" customHeight="1" x14ac:dyDescent="0.25">
      <c r="A243" s="2">
        <f t="shared" si="175"/>
        <v>218</v>
      </c>
      <c r="B243" s="6">
        <f t="shared" ref="B243:B287" si="185">A243</f>
        <v>218</v>
      </c>
      <c r="C243" s="29" t="s">
        <v>136</v>
      </c>
      <c r="D243" s="4">
        <f t="shared" si="172"/>
        <v>4194563.1999999993</v>
      </c>
      <c r="E243" s="1">
        <f t="shared" si="178"/>
        <v>4094563.1999999997</v>
      </c>
      <c r="F243" s="1">
        <f>804*1220.8</f>
        <v>981523.2</v>
      </c>
      <c r="G243" s="1">
        <f>1693*1220.8</f>
        <v>2066814.4</v>
      </c>
      <c r="H243" s="1">
        <f>390*1220.8</f>
        <v>476112</v>
      </c>
      <c r="I243" s="1">
        <v>0</v>
      </c>
      <c r="J243" s="1">
        <f>467*1220.8</f>
        <v>570113.6</v>
      </c>
      <c r="K243" s="1">
        <v>0</v>
      </c>
      <c r="L243" s="2">
        <v>0</v>
      </c>
      <c r="M243" s="1">
        <v>0</v>
      </c>
      <c r="N243" s="1">
        <v>0</v>
      </c>
      <c r="O243" s="1">
        <v>0</v>
      </c>
      <c r="P243" s="1">
        <v>0</v>
      </c>
      <c r="Q243" s="1">
        <f t="shared" si="179"/>
        <v>0</v>
      </c>
      <c r="R243" s="1">
        <v>0</v>
      </c>
      <c r="S243" s="1">
        <f t="shared" si="180"/>
        <v>0</v>
      </c>
      <c r="T243" s="1">
        <v>0</v>
      </c>
      <c r="U243" s="1">
        <v>50000</v>
      </c>
      <c r="V243" s="1">
        <v>0</v>
      </c>
      <c r="W243" s="1">
        <v>50000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</row>
    <row r="244" spans="1:30" s="20" customFormat="1" ht="36" customHeight="1" x14ac:dyDescent="0.25">
      <c r="A244" s="2">
        <f t="shared" si="175"/>
        <v>219</v>
      </c>
      <c r="B244" s="6">
        <f>A244</f>
        <v>219</v>
      </c>
      <c r="C244" s="29" t="s">
        <v>2111</v>
      </c>
      <c r="D244" s="4">
        <f t="shared" si="172"/>
        <v>9517718.6000000015</v>
      </c>
      <c r="E244" s="1">
        <f>SUM(F244:K244)</f>
        <v>4992093.6000000006</v>
      </c>
      <c r="F244" s="1">
        <f>804*1488.4</f>
        <v>1196673.6000000001</v>
      </c>
      <c r="G244" s="1">
        <f>1693*1488.4</f>
        <v>2519861.2000000002</v>
      </c>
      <c r="H244" s="1">
        <f>390*1488.4</f>
        <v>580476</v>
      </c>
      <c r="I244" s="1">
        <v>0</v>
      </c>
      <c r="J244" s="1">
        <f>467*1488.4</f>
        <v>695082.8</v>
      </c>
      <c r="K244" s="1">
        <v>0</v>
      </c>
      <c r="L244" s="2">
        <v>0</v>
      </c>
      <c r="M244" s="1">
        <f>L244*3500000</f>
        <v>0</v>
      </c>
      <c r="N244" s="1">
        <v>577.5</v>
      </c>
      <c r="O244" s="1">
        <f>N244*7750</f>
        <v>4475625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50000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</row>
    <row r="245" spans="1:30" s="20" customFormat="1" ht="36" customHeight="1" x14ac:dyDescent="0.25">
      <c r="A245" s="2">
        <f t="shared" si="175"/>
        <v>220</v>
      </c>
      <c r="B245" s="6">
        <f>A245</f>
        <v>220</v>
      </c>
      <c r="C245" s="29" t="s">
        <v>2112</v>
      </c>
      <c r="D245" s="4">
        <f t="shared" si="172"/>
        <v>6536225.1999999993</v>
      </c>
      <c r="E245" s="1">
        <f>SUM(F245:K245)</f>
        <v>3685375.1999999997</v>
      </c>
      <c r="F245" s="1">
        <f>804*1098.8</f>
        <v>883435.2</v>
      </c>
      <c r="G245" s="1">
        <f>1693*1098.8</f>
        <v>1860268.4</v>
      </c>
      <c r="H245" s="1">
        <f>390*1098.8</f>
        <v>428532</v>
      </c>
      <c r="I245" s="1">
        <v>0</v>
      </c>
      <c r="J245" s="1">
        <f>467*1098.8</f>
        <v>513139.6</v>
      </c>
      <c r="K245" s="1">
        <v>0</v>
      </c>
      <c r="L245" s="2">
        <v>0</v>
      </c>
      <c r="M245" s="1">
        <f>L245*3500000</f>
        <v>0</v>
      </c>
      <c r="N245" s="1">
        <v>361.4</v>
      </c>
      <c r="O245" s="1">
        <f>N245*7750</f>
        <v>2800850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50000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</row>
    <row r="246" spans="1:30" s="20" customFormat="1" ht="36" customHeight="1" x14ac:dyDescent="0.25">
      <c r="A246" s="2">
        <f t="shared" si="175"/>
        <v>221</v>
      </c>
      <c r="B246" s="6">
        <f>A246</f>
        <v>221</v>
      </c>
      <c r="C246" s="29" t="s">
        <v>1634</v>
      </c>
      <c r="D246" s="4">
        <f t="shared" si="172"/>
        <v>2402831</v>
      </c>
      <c r="E246" s="1">
        <f>SUM(F246:K246)</f>
        <v>2352831</v>
      </c>
      <c r="F246" s="1">
        <f>804*701.5</f>
        <v>564006</v>
      </c>
      <c r="G246" s="1">
        <f>1693*701.5</f>
        <v>1187639.5</v>
      </c>
      <c r="H246" s="1">
        <f>390*701.5</f>
        <v>273585</v>
      </c>
      <c r="I246" s="1">
        <v>0</v>
      </c>
      <c r="J246" s="1">
        <f>467*701.5</f>
        <v>327600.5</v>
      </c>
      <c r="K246" s="1">
        <v>0</v>
      </c>
      <c r="L246" s="2">
        <v>0</v>
      </c>
      <c r="M246" s="1">
        <v>0</v>
      </c>
      <c r="N246" s="1">
        <v>0</v>
      </c>
      <c r="O246" s="1">
        <v>0</v>
      </c>
      <c r="P246" s="1">
        <v>0</v>
      </c>
      <c r="Q246" s="1">
        <f t="shared" si="179"/>
        <v>0</v>
      </c>
      <c r="R246" s="1">
        <v>0</v>
      </c>
      <c r="S246" s="1">
        <f t="shared" si="180"/>
        <v>0</v>
      </c>
      <c r="T246" s="1">
        <v>0</v>
      </c>
      <c r="U246" s="1">
        <v>50000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</row>
    <row r="247" spans="1:30" s="20" customFormat="1" ht="36" customHeight="1" x14ac:dyDescent="0.25">
      <c r="A247" s="2">
        <f t="shared" si="175"/>
        <v>222</v>
      </c>
      <c r="B247" s="6">
        <f t="shared" si="185"/>
        <v>222</v>
      </c>
      <c r="C247" s="29" t="s">
        <v>1635</v>
      </c>
      <c r="D247" s="4">
        <f t="shared" si="172"/>
        <v>2444085.1999999997</v>
      </c>
      <c r="E247" s="1">
        <f t="shared" si="178"/>
        <v>2394085.1999999997</v>
      </c>
      <c r="F247" s="1">
        <f>804*713.8</f>
        <v>573895.19999999995</v>
      </c>
      <c r="G247" s="1">
        <f>1693*713.8</f>
        <v>1208463.3999999999</v>
      </c>
      <c r="H247" s="1">
        <f>390*713.8</f>
        <v>278382</v>
      </c>
      <c r="I247" s="1">
        <v>0</v>
      </c>
      <c r="J247" s="1">
        <f>467*713.8</f>
        <v>333344.59999999998</v>
      </c>
      <c r="K247" s="1">
        <v>0</v>
      </c>
      <c r="L247" s="2">
        <v>0</v>
      </c>
      <c r="M247" s="1">
        <v>0</v>
      </c>
      <c r="N247" s="1">
        <v>0</v>
      </c>
      <c r="O247" s="1">
        <v>0</v>
      </c>
      <c r="P247" s="1">
        <v>0</v>
      </c>
      <c r="Q247" s="1">
        <f t="shared" si="179"/>
        <v>0</v>
      </c>
      <c r="R247" s="1">
        <v>0</v>
      </c>
      <c r="S247" s="1">
        <f t="shared" si="180"/>
        <v>0</v>
      </c>
      <c r="T247" s="1">
        <v>0</v>
      </c>
      <c r="U247" s="1">
        <v>50000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</row>
    <row r="248" spans="1:30" s="20" customFormat="1" ht="36" customHeight="1" x14ac:dyDescent="0.25">
      <c r="A248" s="2">
        <f t="shared" si="175"/>
        <v>223</v>
      </c>
      <c r="B248" s="6">
        <f t="shared" ref="B248:B253" si="186">A248</f>
        <v>223</v>
      </c>
      <c r="C248" s="29" t="s">
        <v>2114</v>
      </c>
      <c r="D248" s="4">
        <f t="shared" si="172"/>
        <v>3563971</v>
      </c>
      <c r="E248" s="1">
        <f t="shared" ref="E248:E253" si="187">SUM(F248:K248)</f>
        <v>449838</v>
      </c>
      <c r="F248" s="1">
        <f>804*559.5</f>
        <v>449838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2">
        <v>0</v>
      </c>
      <c r="M248" s="1">
        <f t="shared" ref="M248:M253" si="188">L248*3500000</f>
        <v>0</v>
      </c>
      <c r="N248" s="1">
        <v>210</v>
      </c>
      <c r="O248" s="1">
        <f>N248*7750</f>
        <v>1627500</v>
      </c>
      <c r="P248" s="1">
        <v>0</v>
      </c>
      <c r="Q248" s="1">
        <v>0</v>
      </c>
      <c r="R248" s="1">
        <v>383</v>
      </c>
      <c r="S248" s="1">
        <f>R248*3751</f>
        <v>1436633</v>
      </c>
      <c r="T248" s="1">
        <v>0</v>
      </c>
      <c r="U248" s="1">
        <v>50000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</row>
    <row r="249" spans="1:30" s="20" customFormat="1" ht="36" customHeight="1" x14ac:dyDescent="0.25">
      <c r="A249" s="2">
        <f t="shared" si="175"/>
        <v>224</v>
      </c>
      <c r="B249" s="6">
        <f t="shared" si="186"/>
        <v>224</v>
      </c>
      <c r="C249" s="29" t="s">
        <v>2117</v>
      </c>
      <c r="D249" s="4">
        <f t="shared" si="172"/>
        <v>3174362.6</v>
      </c>
      <c r="E249" s="1">
        <f t="shared" si="187"/>
        <v>479907.6</v>
      </c>
      <c r="F249" s="1">
        <f>804*596.9</f>
        <v>479907.6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2">
        <v>0</v>
      </c>
      <c r="M249" s="1">
        <f t="shared" si="188"/>
        <v>0</v>
      </c>
      <c r="N249" s="1">
        <v>0</v>
      </c>
      <c r="O249" s="1">
        <v>0</v>
      </c>
      <c r="P249" s="1">
        <v>0</v>
      </c>
      <c r="Q249" s="1">
        <v>0</v>
      </c>
      <c r="R249" s="1">
        <v>705</v>
      </c>
      <c r="S249" s="1">
        <f t="shared" ref="S249:S251" si="189">R249*3751</f>
        <v>2644455</v>
      </c>
      <c r="T249" s="1">
        <v>0</v>
      </c>
      <c r="U249" s="1">
        <v>50000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</row>
    <row r="250" spans="1:30" s="20" customFormat="1" ht="36" customHeight="1" x14ac:dyDescent="0.25">
      <c r="A250" s="2">
        <f t="shared" si="175"/>
        <v>225</v>
      </c>
      <c r="B250" s="6">
        <f t="shared" si="186"/>
        <v>225</v>
      </c>
      <c r="C250" s="29" t="s">
        <v>2118</v>
      </c>
      <c r="D250" s="4">
        <f t="shared" si="172"/>
        <v>6012733.5999999996</v>
      </c>
      <c r="E250" s="1">
        <f t="shared" si="187"/>
        <v>1421760.5999999999</v>
      </c>
      <c r="F250" s="1">
        <f>804*423.9</f>
        <v>340815.6</v>
      </c>
      <c r="G250" s="1">
        <f>1693*423.9</f>
        <v>717662.7</v>
      </c>
      <c r="H250" s="1">
        <f>390*423.9</f>
        <v>165321</v>
      </c>
      <c r="I250" s="1">
        <v>0</v>
      </c>
      <c r="J250" s="1">
        <f>467*423.9</f>
        <v>197961.3</v>
      </c>
      <c r="K250" s="1">
        <v>0</v>
      </c>
      <c r="L250" s="2">
        <v>0</v>
      </c>
      <c r="M250" s="1">
        <f t="shared" si="188"/>
        <v>0</v>
      </c>
      <c r="N250" s="1">
        <v>357</v>
      </c>
      <c r="O250" s="1">
        <f>N250*7750</f>
        <v>2766750</v>
      </c>
      <c r="P250" s="1">
        <v>0</v>
      </c>
      <c r="Q250" s="1">
        <v>0</v>
      </c>
      <c r="R250" s="1">
        <v>473</v>
      </c>
      <c r="S250" s="1">
        <f t="shared" si="189"/>
        <v>1774223</v>
      </c>
      <c r="T250" s="1">
        <v>0</v>
      </c>
      <c r="U250" s="1">
        <v>50000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</row>
    <row r="251" spans="1:30" s="20" customFormat="1" ht="36" customHeight="1" x14ac:dyDescent="0.25">
      <c r="A251" s="2">
        <f t="shared" si="175"/>
        <v>226</v>
      </c>
      <c r="B251" s="6">
        <f t="shared" si="186"/>
        <v>226</v>
      </c>
      <c r="C251" s="29" t="s">
        <v>2119</v>
      </c>
      <c r="D251" s="4">
        <f t="shared" si="172"/>
        <v>6681741.5999999996</v>
      </c>
      <c r="E251" s="1">
        <f t="shared" si="187"/>
        <v>1680018.5999999999</v>
      </c>
      <c r="F251" s="1">
        <f>804*500.9</f>
        <v>402723.6</v>
      </c>
      <c r="G251" s="1">
        <f>1693*500.9</f>
        <v>848023.7</v>
      </c>
      <c r="H251" s="1">
        <f>390*500.9</f>
        <v>195351</v>
      </c>
      <c r="I251" s="1">
        <v>0</v>
      </c>
      <c r="J251" s="1">
        <f>467*500.9</f>
        <v>233920.3</v>
      </c>
      <c r="K251" s="1">
        <v>0</v>
      </c>
      <c r="L251" s="2">
        <v>0</v>
      </c>
      <c r="M251" s="1">
        <f t="shared" si="188"/>
        <v>0</v>
      </c>
      <c r="N251" s="1">
        <v>410</v>
      </c>
      <c r="O251" s="1">
        <f t="shared" ref="O251:O253" si="190">N251*7750</f>
        <v>3177500</v>
      </c>
      <c r="P251" s="1">
        <v>0</v>
      </c>
      <c r="Q251" s="1">
        <v>0</v>
      </c>
      <c r="R251" s="1">
        <v>473</v>
      </c>
      <c r="S251" s="1">
        <f t="shared" si="189"/>
        <v>1774223</v>
      </c>
      <c r="T251" s="1">
        <v>0</v>
      </c>
      <c r="U251" s="1">
        <v>50000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</row>
    <row r="252" spans="1:30" s="20" customFormat="1" ht="36" customHeight="1" x14ac:dyDescent="0.25">
      <c r="A252" s="2">
        <f t="shared" si="175"/>
        <v>227</v>
      </c>
      <c r="B252" s="6">
        <f t="shared" si="186"/>
        <v>227</v>
      </c>
      <c r="C252" s="29" t="s">
        <v>2120</v>
      </c>
      <c r="D252" s="4">
        <f t="shared" si="172"/>
        <v>3913750</v>
      </c>
      <c r="E252" s="1">
        <f t="shared" si="187"/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2">
        <v>0</v>
      </c>
      <c r="M252" s="1">
        <f t="shared" si="188"/>
        <v>0</v>
      </c>
      <c r="N252" s="1">
        <v>505</v>
      </c>
      <c r="O252" s="1">
        <f t="shared" si="190"/>
        <v>3913750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</row>
    <row r="253" spans="1:30" s="20" customFormat="1" ht="36" customHeight="1" x14ac:dyDescent="0.25">
      <c r="A253" s="2">
        <f t="shared" si="175"/>
        <v>228</v>
      </c>
      <c r="B253" s="6">
        <f t="shared" si="186"/>
        <v>228</v>
      </c>
      <c r="C253" s="29" t="s">
        <v>2121</v>
      </c>
      <c r="D253" s="4">
        <f t="shared" si="172"/>
        <v>4741951.8</v>
      </c>
      <c r="E253" s="1">
        <f t="shared" si="187"/>
        <v>1062223.7999999998</v>
      </c>
      <c r="F253" s="1">
        <f>804*425.4</f>
        <v>342021.6</v>
      </c>
      <c r="G253" s="1">
        <f>1693*425.4</f>
        <v>720202.2</v>
      </c>
      <c r="H253" s="1">
        <v>0</v>
      </c>
      <c r="I253" s="1">
        <v>0</v>
      </c>
      <c r="J253" s="1">
        <v>0</v>
      </c>
      <c r="K253" s="1">
        <v>0</v>
      </c>
      <c r="L253" s="2">
        <v>0</v>
      </c>
      <c r="M253" s="1">
        <f t="shared" si="188"/>
        <v>0</v>
      </c>
      <c r="N253" s="1">
        <v>358</v>
      </c>
      <c r="O253" s="1">
        <f t="shared" si="190"/>
        <v>2774500</v>
      </c>
      <c r="P253" s="1">
        <v>0</v>
      </c>
      <c r="Q253" s="1">
        <v>0</v>
      </c>
      <c r="R253" s="1">
        <v>228</v>
      </c>
      <c r="S253" s="1">
        <f>R253*3751</f>
        <v>855228</v>
      </c>
      <c r="T253" s="1">
        <v>0</v>
      </c>
      <c r="U253" s="1">
        <v>50000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</row>
    <row r="254" spans="1:30" s="20" customFormat="1" ht="36" customHeight="1" x14ac:dyDescent="0.25">
      <c r="A254" s="2">
        <f t="shared" si="175"/>
        <v>229</v>
      </c>
      <c r="B254" s="6">
        <f t="shared" si="185"/>
        <v>229</v>
      </c>
      <c r="C254" s="19" t="s">
        <v>141</v>
      </c>
      <c r="D254" s="4">
        <f t="shared" si="172"/>
        <v>11543935.6</v>
      </c>
      <c r="E254" s="1">
        <f t="shared" si="178"/>
        <v>3258075.5999999996</v>
      </c>
      <c r="F254" s="1">
        <f>804*971.4</f>
        <v>781005.6</v>
      </c>
      <c r="G254" s="1">
        <f>1693*971.4</f>
        <v>1644580.2</v>
      </c>
      <c r="H254" s="1">
        <f>390*971.4</f>
        <v>378846</v>
      </c>
      <c r="I254" s="1">
        <v>0</v>
      </c>
      <c r="J254" s="1">
        <f>467*971.4</f>
        <v>453643.8</v>
      </c>
      <c r="K254" s="1">
        <v>0</v>
      </c>
      <c r="L254" s="2">
        <v>0</v>
      </c>
      <c r="M254" s="1">
        <v>0</v>
      </c>
      <c r="N254" s="1">
        <v>712.6</v>
      </c>
      <c r="O254" s="1">
        <f>712.6*7750</f>
        <v>5522650</v>
      </c>
      <c r="P254" s="1">
        <v>0</v>
      </c>
      <c r="Q254" s="1">
        <f t="shared" si="179"/>
        <v>0</v>
      </c>
      <c r="R254" s="1">
        <v>710</v>
      </c>
      <c r="S254" s="1">
        <f t="shared" si="180"/>
        <v>2663210</v>
      </c>
      <c r="T254" s="1">
        <v>0</v>
      </c>
      <c r="U254" s="1">
        <v>50000</v>
      </c>
      <c r="V254" s="1">
        <v>0</v>
      </c>
      <c r="W254" s="1">
        <v>50000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</row>
    <row r="255" spans="1:30" s="20" customFormat="1" ht="36" customHeight="1" x14ac:dyDescent="0.25">
      <c r="A255" s="2">
        <f t="shared" si="175"/>
        <v>230</v>
      </c>
      <c r="B255" s="6">
        <f>A255</f>
        <v>230</v>
      </c>
      <c r="C255" s="19" t="s">
        <v>1761</v>
      </c>
      <c r="D255" s="4">
        <f t="shared" si="172"/>
        <v>3540196.8000000003</v>
      </c>
      <c r="E255" s="1">
        <f>SUM(F255:K255)</f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2">
        <v>0</v>
      </c>
      <c r="M255" s="1">
        <v>0</v>
      </c>
      <c r="N255" s="1">
        <v>520</v>
      </c>
      <c r="O255" s="1">
        <f>712.6*4968</f>
        <v>3540196.8000000003</v>
      </c>
      <c r="P255" s="1">
        <v>0</v>
      </c>
      <c r="Q255" s="1">
        <f>P255*1400</f>
        <v>0</v>
      </c>
      <c r="R255" s="1">
        <v>0</v>
      </c>
      <c r="S255" s="1">
        <f>R255*3751</f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</row>
    <row r="256" spans="1:30" s="20" customFormat="1" ht="36" customHeight="1" x14ac:dyDescent="0.25">
      <c r="A256" s="2">
        <f t="shared" si="175"/>
        <v>231</v>
      </c>
      <c r="B256" s="6">
        <f t="shared" si="185"/>
        <v>231</v>
      </c>
      <c r="C256" s="19" t="s">
        <v>764</v>
      </c>
      <c r="D256" s="4">
        <f t="shared" si="172"/>
        <v>351982.4</v>
      </c>
      <c r="E256" s="1">
        <f t="shared" si="178"/>
        <v>301982.40000000002</v>
      </c>
      <c r="F256" s="7">
        <f>804*375.6</f>
        <v>301982.40000000002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2">
        <v>0</v>
      </c>
      <c r="M256" s="1">
        <v>0</v>
      </c>
      <c r="N256" s="1">
        <v>0</v>
      </c>
      <c r="O256" s="1">
        <v>0</v>
      </c>
      <c r="P256" s="1">
        <v>0</v>
      </c>
      <c r="Q256" s="1">
        <f t="shared" si="179"/>
        <v>0</v>
      </c>
      <c r="R256" s="1">
        <v>0</v>
      </c>
      <c r="S256" s="1">
        <f t="shared" si="180"/>
        <v>0</v>
      </c>
      <c r="T256" s="1">
        <v>0</v>
      </c>
      <c r="U256" s="1">
        <v>50000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</row>
    <row r="257" spans="1:30" s="20" customFormat="1" ht="36" customHeight="1" x14ac:dyDescent="0.25">
      <c r="A257" s="2">
        <f t="shared" si="175"/>
        <v>232</v>
      </c>
      <c r="B257" s="6">
        <f>A257</f>
        <v>232</v>
      </c>
      <c r="C257" s="19" t="s">
        <v>1374</v>
      </c>
      <c r="D257" s="4">
        <f t="shared" si="172"/>
        <v>963629.59999999986</v>
      </c>
      <c r="E257" s="1">
        <f>SUM(F257:K257)</f>
        <v>913629.59999999986</v>
      </c>
      <c r="F257" s="1">
        <f>804*272.4</f>
        <v>219009.59999999998</v>
      </c>
      <c r="G257" s="1">
        <f>1693*272.4</f>
        <v>461173.19999999995</v>
      </c>
      <c r="H257" s="1">
        <f>390*272.4</f>
        <v>106235.99999999999</v>
      </c>
      <c r="I257" s="1">
        <v>0</v>
      </c>
      <c r="J257" s="1">
        <f>467*272.4</f>
        <v>127210.79999999999</v>
      </c>
      <c r="K257" s="1">
        <v>0</v>
      </c>
      <c r="L257" s="2">
        <v>0</v>
      </c>
      <c r="M257" s="1">
        <v>0</v>
      </c>
      <c r="N257" s="1">
        <v>0</v>
      </c>
      <c r="O257" s="1">
        <v>0</v>
      </c>
      <c r="P257" s="1">
        <v>0</v>
      </c>
      <c r="Q257" s="1">
        <f>P257*1400</f>
        <v>0</v>
      </c>
      <c r="R257" s="1">
        <v>0</v>
      </c>
      <c r="S257" s="1">
        <f>R257*3751</f>
        <v>0</v>
      </c>
      <c r="T257" s="1">
        <v>0</v>
      </c>
      <c r="U257" s="1">
        <v>50000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</row>
    <row r="258" spans="1:30" s="20" customFormat="1" ht="36" customHeight="1" x14ac:dyDescent="0.25">
      <c r="A258" s="2">
        <f t="shared" si="175"/>
        <v>233</v>
      </c>
      <c r="B258" s="6">
        <f>A258</f>
        <v>233</v>
      </c>
      <c r="C258" s="29" t="s">
        <v>2122</v>
      </c>
      <c r="D258" s="4">
        <f t="shared" si="172"/>
        <v>5426740.4000000004</v>
      </c>
      <c r="E258" s="1">
        <f>SUM(F258:K258)</f>
        <v>328514.40000000002</v>
      </c>
      <c r="F258" s="1">
        <f>804*408.6</f>
        <v>328514.40000000002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2">
        <v>0</v>
      </c>
      <c r="M258" s="1">
        <f>L258*3500000</f>
        <v>0</v>
      </c>
      <c r="N258" s="1">
        <v>421</v>
      </c>
      <c r="O258" s="1">
        <f t="shared" ref="O258:O264" si="191">N258*7750</f>
        <v>3262750</v>
      </c>
      <c r="P258" s="1">
        <v>0</v>
      </c>
      <c r="Q258" s="1">
        <v>0</v>
      </c>
      <c r="R258" s="1">
        <v>476</v>
      </c>
      <c r="S258" s="1">
        <f>R258*3751</f>
        <v>1785476</v>
      </c>
      <c r="T258" s="1">
        <v>0</v>
      </c>
      <c r="U258" s="1">
        <v>50000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</row>
    <row r="259" spans="1:30" s="20" customFormat="1" ht="36" customHeight="1" x14ac:dyDescent="0.25">
      <c r="A259" s="2">
        <f t="shared" si="175"/>
        <v>234</v>
      </c>
      <c r="B259" s="6">
        <f t="shared" si="185"/>
        <v>234</v>
      </c>
      <c r="C259" s="19" t="s">
        <v>142</v>
      </c>
      <c r="D259" s="4">
        <f t="shared" si="172"/>
        <v>9651185</v>
      </c>
      <c r="E259" s="1">
        <f t="shared" si="178"/>
        <v>2587946.4000000004</v>
      </c>
      <c r="F259" s="1">
        <f>804*771.6</f>
        <v>620366.4</v>
      </c>
      <c r="G259" s="1">
        <f>1693*771.6</f>
        <v>1306318.8</v>
      </c>
      <c r="H259" s="1">
        <f>390*771.6</f>
        <v>300924</v>
      </c>
      <c r="I259" s="1">
        <v>0</v>
      </c>
      <c r="J259" s="1">
        <f>467*771.6</f>
        <v>360337.2</v>
      </c>
      <c r="K259" s="1">
        <v>0</v>
      </c>
      <c r="L259" s="2">
        <v>0</v>
      </c>
      <c r="M259" s="1">
        <v>0</v>
      </c>
      <c r="N259" s="1">
        <v>601.5</v>
      </c>
      <c r="O259" s="1">
        <f t="shared" si="191"/>
        <v>4661625</v>
      </c>
      <c r="P259" s="1">
        <v>0</v>
      </c>
      <c r="Q259" s="1">
        <f t="shared" si="179"/>
        <v>0</v>
      </c>
      <c r="R259" s="1">
        <v>613.6</v>
      </c>
      <c r="S259" s="1">
        <f t="shared" si="180"/>
        <v>2301613.6</v>
      </c>
      <c r="T259" s="1">
        <v>0</v>
      </c>
      <c r="U259" s="1">
        <v>50000</v>
      </c>
      <c r="V259" s="1">
        <v>0</v>
      </c>
      <c r="W259" s="1">
        <v>50000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</row>
    <row r="260" spans="1:30" s="20" customFormat="1" ht="36" customHeight="1" x14ac:dyDescent="0.25">
      <c r="A260" s="2">
        <f t="shared" si="175"/>
        <v>235</v>
      </c>
      <c r="B260" s="6">
        <f t="shared" si="185"/>
        <v>235</v>
      </c>
      <c r="C260" s="19" t="s">
        <v>143</v>
      </c>
      <c r="D260" s="4">
        <f t="shared" si="172"/>
        <v>4661625</v>
      </c>
      <c r="E260" s="1">
        <f t="shared" si="178"/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2">
        <v>0</v>
      </c>
      <c r="M260" s="1">
        <v>0</v>
      </c>
      <c r="N260" s="1">
        <v>601.5</v>
      </c>
      <c r="O260" s="1">
        <f t="shared" si="191"/>
        <v>4661625</v>
      </c>
      <c r="P260" s="1">
        <v>0</v>
      </c>
      <c r="Q260" s="1">
        <f t="shared" si="179"/>
        <v>0</v>
      </c>
      <c r="R260" s="1">
        <v>0</v>
      </c>
      <c r="S260" s="1">
        <f t="shared" si="180"/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</row>
    <row r="261" spans="1:30" s="20" customFormat="1" ht="36" customHeight="1" x14ac:dyDescent="0.25">
      <c r="A261" s="2">
        <f t="shared" si="175"/>
        <v>236</v>
      </c>
      <c r="B261" s="6">
        <f>A261</f>
        <v>236</v>
      </c>
      <c r="C261" s="19" t="s">
        <v>147</v>
      </c>
      <c r="D261" s="4">
        <f t="shared" si="172"/>
        <v>1192442.8999999999</v>
      </c>
      <c r="E261" s="1">
        <f>SUM(F261:K261)</f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2">
        <v>0</v>
      </c>
      <c r="M261" s="1">
        <v>0</v>
      </c>
      <c r="N261" s="1">
        <v>0</v>
      </c>
      <c r="O261" s="1">
        <v>0</v>
      </c>
      <c r="P261" s="1">
        <v>0</v>
      </c>
      <c r="Q261" s="1">
        <f>P261*1400</f>
        <v>0</v>
      </c>
      <c r="R261" s="1">
        <v>317.89999999999998</v>
      </c>
      <c r="S261" s="1">
        <f>R261*3751</f>
        <v>1192442.8999999999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</row>
    <row r="262" spans="1:30" s="20" customFormat="1" ht="36" customHeight="1" x14ac:dyDescent="0.25">
      <c r="A262" s="2">
        <f t="shared" si="175"/>
        <v>237</v>
      </c>
      <c r="B262" s="6">
        <f t="shared" si="185"/>
        <v>237</v>
      </c>
      <c r="C262" s="19" t="s">
        <v>144</v>
      </c>
      <c r="D262" s="4">
        <f t="shared" si="172"/>
        <v>4891087</v>
      </c>
      <c r="E262" s="1">
        <f t="shared" si="178"/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2">
        <v>0</v>
      </c>
      <c r="M262" s="1">
        <v>0</v>
      </c>
      <c r="N262" s="1">
        <v>468</v>
      </c>
      <c r="O262" s="1">
        <f t="shared" si="191"/>
        <v>3627000</v>
      </c>
      <c r="P262" s="1">
        <v>0</v>
      </c>
      <c r="Q262" s="1">
        <f t="shared" si="179"/>
        <v>0</v>
      </c>
      <c r="R262" s="1">
        <v>337</v>
      </c>
      <c r="S262" s="1">
        <f t="shared" si="180"/>
        <v>1264087</v>
      </c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</row>
    <row r="263" spans="1:30" s="20" customFormat="1" ht="36" customHeight="1" x14ac:dyDescent="0.25">
      <c r="A263" s="2">
        <f t="shared" si="175"/>
        <v>238</v>
      </c>
      <c r="B263" s="6">
        <f t="shared" si="185"/>
        <v>238</v>
      </c>
      <c r="C263" s="19" t="s">
        <v>145</v>
      </c>
      <c r="D263" s="4">
        <f t="shared" si="172"/>
        <v>7876592.7999999989</v>
      </c>
      <c r="E263" s="1">
        <f t="shared" si="178"/>
        <v>2249863.1999999997</v>
      </c>
      <c r="F263" s="1">
        <f>804*670.8</f>
        <v>539323.19999999995</v>
      </c>
      <c r="G263" s="1">
        <f>1693*670.8</f>
        <v>1135664.3999999999</v>
      </c>
      <c r="H263" s="1">
        <f>390*670.8</f>
        <v>261611.99999999997</v>
      </c>
      <c r="I263" s="1">
        <v>0</v>
      </c>
      <c r="J263" s="1">
        <f>467*670.8</f>
        <v>313263.59999999998</v>
      </c>
      <c r="K263" s="1">
        <v>0</v>
      </c>
      <c r="L263" s="2">
        <v>0</v>
      </c>
      <c r="M263" s="1">
        <v>0</v>
      </c>
      <c r="N263" s="1">
        <v>468.9</v>
      </c>
      <c r="O263" s="1">
        <f t="shared" si="191"/>
        <v>3633975</v>
      </c>
      <c r="P263" s="1">
        <v>0</v>
      </c>
      <c r="Q263" s="1">
        <f t="shared" si="179"/>
        <v>0</v>
      </c>
      <c r="R263" s="1">
        <v>504.6</v>
      </c>
      <c r="S263" s="1">
        <f t="shared" si="180"/>
        <v>1892754.6</v>
      </c>
      <c r="T263" s="1">
        <v>0</v>
      </c>
      <c r="U263" s="1">
        <v>50000</v>
      </c>
      <c r="V263" s="1">
        <v>0</v>
      </c>
      <c r="W263" s="1">
        <v>50000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</row>
    <row r="264" spans="1:30" s="20" customFormat="1" ht="36" customHeight="1" x14ac:dyDescent="0.25">
      <c r="A264" s="2">
        <f t="shared" si="175"/>
        <v>239</v>
      </c>
      <c r="B264" s="6">
        <f t="shared" si="185"/>
        <v>239</v>
      </c>
      <c r="C264" s="19" t="s">
        <v>146</v>
      </c>
      <c r="D264" s="4">
        <f t="shared" si="172"/>
        <v>9636427.4000000004</v>
      </c>
      <c r="E264" s="1">
        <f t="shared" si="178"/>
        <v>2573188.8000000003</v>
      </c>
      <c r="F264" s="1">
        <f>804*767.2</f>
        <v>616828.80000000005</v>
      </c>
      <c r="G264" s="1">
        <f>1693*767.2</f>
        <v>1298869.6000000001</v>
      </c>
      <c r="H264" s="1">
        <f>390*767.2</f>
        <v>299208</v>
      </c>
      <c r="I264" s="1">
        <v>0</v>
      </c>
      <c r="J264" s="1">
        <f>467*767.2</f>
        <v>358282.4</v>
      </c>
      <c r="K264" s="1">
        <v>0</v>
      </c>
      <c r="L264" s="2">
        <v>0</v>
      </c>
      <c r="M264" s="1">
        <v>0</v>
      </c>
      <c r="N264" s="1">
        <v>601.5</v>
      </c>
      <c r="O264" s="1">
        <f t="shared" si="191"/>
        <v>4661625</v>
      </c>
      <c r="P264" s="1">
        <v>0</v>
      </c>
      <c r="Q264" s="1">
        <f t="shared" si="179"/>
        <v>0</v>
      </c>
      <c r="R264" s="1">
        <v>613.6</v>
      </c>
      <c r="S264" s="1">
        <f t="shared" si="180"/>
        <v>2301613.6</v>
      </c>
      <c r="T264" s="1">
        <v>0</v>
      </c>
      <c r="U264" s="1">
        <v>50000</v>
      </c>
      <c r="V264" s="1">
        <v>0</v>
      </c>
      <c r="W264" s="1">
        <v>50000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</row>
    <row r="265" spans="1:30" s="20" customFormat="1" ht="54.95" customHeight="1" x14ac:dyDescent="0.25">
      <c r="A265" s="3"/>
      <c r="B265" s="47" t="s">
        <v>1979</v>
      </c>
      <c r="C265" s="48"/>
      <c r="D265" s="4">
        <f>SUM(D266:D287)</f>
        <v>119703082.55000001</v>
      </c>
      <c r="E265" s="4">
        <f t="shared" ref="E265:AD265" si="192">SUM(E266:E287)</f>
        <v>21105241.550000001</v>
      </c>
      <c r="F265" s="4">
        <f t="shared" si="192"/>
        <v>7694103.1200000001</v>
      </c>
      <c r="G265" s="4">
        <f t="shared" si="192"/>
        <v>6506757.6900000004</v>
      </c>
      <c r="H265" s="4">
        <f t="shared" si="192"/>
        <v>3412812</v>
      </c>
      <c r="I265" s="4">
        <f t="shared" si="192"/>
        <v>1537720.1300000001</v>
      </c>
      <c r="J265" s="4">
        <f t="shared" si="192"/>
        <v>1953848.6100000003</v>
      </c>
      <c r="K265" s="4">
        <f t="shared" si="192"/>
        <v>0</v>
      </c>
      <c r="L265" s="17">
        <f t="shared" si="192"/>
        <v>6</v>
      </c>
      <c r="M265" s="4">
        <f t="shared" si="192"/>
        <v>21000000</v>
      </c>
      <c r="N265" s="4">
        <f t="shared" si="192"/>
        <v>6906</v>
      </c>
      <c r="O265" s="4">
        <f t="shared" si="192"/>
        <v>53521500</v>
      </c>
      <c r="P265" s="4">
        <f t="shared" si="192"/>
        <v>200</v>
      </c>
      <c r="Q265" s="4">
        <f t="shared" si="192"/>
        <v>280000</v>
      </c>
      <c r="R265" s="4">
        <f t="shared" si="192"/>
        <v>5091</v>
      </c>
      <c r="S265" s="4">
        <f t="shared" si="192"/>
        <v>19096341</v>
      </c>
      <c r="T265" s="4">
        <f t="shared" si="192"/>
        <v>2550000</v>
      </c>
      <c r="U265" s="4">
        <f t="shared" si="192"/>
        <v>1250000</v>
      </c>
      <c r="V265" s="4">
        <f t="shared" si="192"/>
        <v>0</v>
      </c>
      <c r="W265" s="4">
        <f t="shared" si="192"/>
        <v>900000</v>
      </c>
      <c r="X265" s="4">
        <f t="shared" si="192"/>
        <v>0</v>
      </c>
      <c r="Y265" s="4">
        <f t="shared" si="192"/>
        <v>0</v>
      </c>
      <c r="Z265" s="4">
        <f t="shared" si="192"/>
        <v>0</v>
      </c>
      <c r="AA265" s="4">
        <f t="shared" si="192"/>
        <v>0</v>
      </c>
      <c r="AB265" s="4">
        <f t="shared" si="192"/>
        <v>0</v>
      </c>
      <c r="AC265" s="4">
        <f t="shared" si="192"/>
        <v>0</v>
      </c>
      <c r="AD265" s="4">
        <f t="shared" si="192"/>
        <v>0</v>
      </c>
    </row>
    <row r="266" spans="1:30" s="20" customFormat="1" ht="36" customHeight="1" x14ac:dyDescent="0.25">
      <c r="A266" s="2">
        <f>ROW()-ROW($A$11)-15</f>
        <v>240</v>
      </c>
      <c r="B266" s="6">
        <f t="shared" si="185"/>
        <v>240</v>
      </c>
      <c r="C266" s="19" t="s">
        <v>149</v>
      </c>
      <c r="D266" s="4">
        <f t="shared" ref="D266:D287" si="193">E266+M266+O266+Q266+S266+T266+U266+V266+W266+X266+Z266+AA266+AB266+AC266+AD266</f>
        <v>7622312.75</v>
      </c>
      <c r="E266" s="1">
        <f>SUM(F266:K266)</f>
        <v>2695807.75</v>
      </c>
      <c r="F266" s="1">
        <f>804*686.83</f>
        <v>552211.32000000007</v>
      </c>
      <c r="G266" s="1">
        <f>1693*686.83</f>
        <v>1162803.1900000002</v>
      </c>
      <c r="H266" s="1">
        <f>390*686.83</f>
        <v>267863.7</v>
      </c>
      <c r="I266" s="1">
        <f>571*686.83</f>
        <v>392179.93000000005</v>
      </c>
      <c r="J266" s="1">
        <f>467*686.83</f>
        <v>320749.61000000004</v>
      </c>
      <c r="K266" s="1">
        <v>0</v>
      </c>
      <c r="L266" s="2">
        <v>0</v>
      </c>
      <c r="M266" s="1">
        <v>0</v>
      </c>
      <c r="N266" s="1">
        <v>480</v>
      </c>
      <c r="O266" s="1">
        <f>N266*7750</f>
        <v>3720000</v>
      </c>
      <c r="P266" s="1">
        <v>0</v>
      </c>
      <c r="Q266" s="1">
        <f>P266*1400</f>
        <v>0</v>
      </c>
      <c r="R266" s="1">
        <v>255</v>
      </c>
      <c r="S266" s="1">
        <f>R266*3751</f>
        <v>956505</v>
      </c>
      <c r="T266" s="1">
        <v>150000</v>
      </c>
      <c r="U266" s="1">
        <v>50000</v>
      </c>
      <c r="V266" s="1">
        <v>0</v>
      </c>
      <c r="W266" s="1">
        <v>50000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</row>
    <row r="267" spans="1:30" s="20" customFormat="1" ht="36" customHeight="1" x14ac:dyDescent="0.25">
      <c r="A267" s="2">
        <f t="shared" ref="A267:A287" si="194">ROW()-ROW($A$11)-15</f>
        <v>241</v>
      </c>
      <c r="B267" s="6">
        <f t="shared" si="185"/>
        <v>241</v>
      </c>
      <c r="C267" s="19" t="s">
        <v>151</v>
      </c>
      <c r="D267" s="4">
        <f t="shared" si="193"/>
        <v>10458825</v>
      </c>
      <c r="E267" s="1">
        <f t="shared" ref="E267:E283" si="195">SUM(F267:K267)</f>
        <v>3976025</v>
      </c>
      <c r="F267" s="1">
        <f>804*1013</f>
        <v>814452</v>
      </c>
      <c r="G267" s="1">
        <f>1693*1013</f>
        <v>1715009</v>
      </c>
      <c r="H267" s="1">
        <f>390*1013</f>
        <v>395070</v>
      </c>
      <c r="I267" s="1">
        <f>571*1013</f>
        <v>578423</v>
      </c>
      <c r="J267" s="1">
        <f>467*1013</f>
        <v>473071</v>
      </c>
      <c r="K267" s="1">
        <v>0</v>
      </c>
      <c r="L267" s="2">
        <v>0</v>
      </c>
      <c r="M267" s="1">
        <v>0</v>
      </c>
      <c r="N267" s="1">
        <v>650</v>
      </c>
      <c r="O267" s="1">
        <f>N267*7750</f>
        <v>5037500</v>
      </c>
      <c r="P267" s="1">
        <v>50</v>
      </c>
      <c r="Q267" s="1">
        <f>P267*1400</f>
        <v>70000</v>
      </c>
      <c r="R267" s="1">
        <v>300</v>
      </c>
      <c r="S267" s="1">
        <f t="shared" ref="S267:S287" si="196">R267*3751</f>
        <v>1125300</v>
      </c>
      <c r="T267" s="1">
        <v>150000</v>
      </c>
      <c r="U267" s="1">
        <v>50000</v>
      </c>
      <c r="V267" s="1">
        <v>0</v>
      </c>
      <c r="W267" s="1">
        <v>50000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</row>
    <row r="268" spans="1:30" s="20" customFormat="1" ht="36" customHeight="1" x14ac:dyDescent="0.25">
      <c r="A268" s="2">
        <f t="shared" si="194"/>
        <v>242</v>
      </c>
      <c r="B268" s="6">
        <f t="shared" si="185"/>
        <v>242</v>
      </c>
      <c r="C268" s="19" t="s">
        <v>152</v>
      </c>
      <c r="D268" s="4">
        <f t="shared" si="193"/>
        <v>12394062</v>
      </c>
      <c r="E268" s="1">
        <f t="shared" si="195"/>
        <v>3898310.0000000005</v>
      </c>
      <c r="F268" s="1">
        <f>804*993.2</f>
        <v>798532.8</v>
      </c>
      <c r="G268" s="1">
        <f>1693*993.2</f>
        <v>1681487.6</v>
      </c>
      <c r="H268" s="1">
        <f>390*993.2</f>
        <v>387348</v>
      </c>
      <c r="I268" s="1">
        <f>571*993.2</f>
        <v>567117.20000000007</v>
      </c>
      <c r="J268" s="1">
        <f>467*993.2</f>
        <v>463824.4</v>
      </c>
      <c r="K268" s="1">
        <v>0</v>
      </c>
      <c r="L268" s="2">
        <v>0</v>
      </c>
      <c r="M268" s="1">
        <v>0</v>
      </c>
      <c r="N268" s="1">
        <v>700</v>
      </c>
      <c r="O268" s="1">
        <f>N268*7750</f>
        <v>5425000</v>
      </c>
      <c r="P268" s="1">
        <v>0</v>
      </c>
      <c r="Q268" s="1">
        <f t="shared" ref="Q268:Q287" si="197">P268*1400</f>
        <v>0</v>
      </c>
      <c r="R268" s="1">
        <v>752</v>
      </c>
      <c r="S268" s="1">
        <f t="shared" si="196"/>
        <v>2820752</v>
      </c>
      <c r="T268" s="1">
        <v>150000</v>
      </c>
      <c r="U268" s="1">
        <v>50000</v>
      </c>
      <c r="V268" s="1">
        <v>0</v>
      </c>
      <c r="W268" s="1">
        <v>50000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</row>
    <row r="269" spans="1:30" s="20" customFormat="1" ht="36" customHeight="1" x14ac:dyDescent="0.25">
      <c r="A269" s="2">
        <f t="shared" si="194"/>
        <v>243</v>
      </c>
      <c r="B269" s="6">
        <f t="shared" si="185"/>
        <v>243</v>
      </c>
      <c r="C269" s="19" t="s">
        <v>153</v>
      </c>
      <c r="D269" s="4">
        <f t="shared" si="193"/>
        <v>2639990.1800000002</v>
      </c>
      <c r="E269" s="1">
        <f t="shared" si="195"/>
        <v>688305.18</v>
      </c>
      <c r="F269" s="1">
        <f>804*576.47</f>
        <v>463481.88</v>
      </c>
      <c r="G269" s="1">
        <v>0</v>
      </c>
      <c r="H269" s="1">
        <f>390*576.47</f>
        <v>224823.30000000002</v>
      </c>
      <c r="I269" s="1">
        <v>0</v>
      </c>
      <c r="J269" s="1">
        <v>0</v>
      </c>
      <c r="K269" s="1">
        <v>0</v>
      </c>
      <c r="L269" s="2">
        <v>0</v>
      </c>
      <c r="M269" s="1">
        <v>0</v>
      </c>
      <c r="N269" s="1">
        <v>0</v>
      </c>
      <c r="O269" s="1">
        <v>0</v>
      </c>
      <c r="P269" s="1">
        <v>50</v>
      </c>
      <c r="Q269" s="1">
        <f t="shared" si="197"/>
        <v>70000</v>
      </c>
      <c r="R269" s="1">
        <v>435</v>
      </c>
      <c r="S269" s="1">
        <f t="shared" si="196"/>
        <v>1631685</v>
      </c>
      <c r="T269" s="1">
        <v>150000</v>
      </c>
      <c r="U269" s="1">
        <v>50000</v>
      </c>
      <c r="V269" s="1">
        <v>0</v>
      </c>
      <c r="W269" s="1">
        <v>50000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</row>
    <row r="270" spans="1:30" s="20" customFormat="1" ht="36" customHeight="1" x14ac:dyDescent="0.25">
      <c r="A270" s="2">
        <f t="shared" si="194"/>
        <v>244</v>
      </c>
      <c r="B270" s="6">
        <f t="shared" si="185"/>
        <v>244</v>
      </c>
      <c r="C270" s="19" t="s">
        <v>154</v>
      </c>
      <c r="D270" s="4">
        <f t="shared" si="193"/>
        <v>6332086.9000000004</v>
      </c>
      <c r="E270" s="1">
        <f t="shared" si="195"/>
        <v>951586.89999999991</v>
      </c>
      <c r="F270" s="1">
        <f>804*572.9</f>
        <v>460611.6</v>
      </c>
      <c r="G270" s="1">
        <v>0</v>
      </c>
      <c r="H270" s="1">
        <f>390*572.9</f>
        <v>223431</v>
      </c>
      <c r="I270" s="1">
        <v>0</v>
      </c>
      <c r="J270" s="1">
        <f>467*572.9</f>
        <v>267544.3</v>
      </c>
      <c r="K270" s="1">
        <v>0</v>
      </c>
      <c r="L270" s="2">
        <v>0</v>
      </c>
      <c r="M270" s="1">
        <v>0</v>
      </c>
      <c r="N270" s="1">
        <v>420</v>
      </c>
      <c r="O270" s="1">
        <f>N270*7750</f>
        <v>3255000</v>
      </c>
      <c r="P270" s="1">
        <v>0</v>
      </c>
      <c r="Q270" s="1">
        <f t="shared" si="197"/>
        <v>0</v>
      </c>
      <c r="R270" s="1">
        <v>500</v>
      </c>
      <c r="S270" s="1">
        <f t="shared" si="196"/>
        <v>1875500</v>
      </c>
      <c r="T270" s="1">
        <v>150000</v>
      </c>
      <c r="U270" s="1">
        <v>50000</v>
      </c>
      <c r="V270" s="1">
        <v>0</v>
      </c>
      <c r="W270" s="1">
        <v>50000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</row>
    <row r="271" spans="1:30" s="20" customFormat="1" ht="36" customHeight="1" x14ac:dyDescent="0.25">
      <c r="A271" s="2">
        <f t="shared" si="194"/>
        <v>245</v>
      </c>
      <c r="B271" s="6">
        <f t="shared" si="185"/>
        <v>245</v>
      </c>
      <c r="C271" s="19" t="s">
        <v>155</v>
      </c>
      <c r="D271" s="4">
        <f t="shared" si="193"/>
        <v>6357252.9000000004</v>
      </c>
      <c r="E271" s="1">
        <f t="shared" si="195"/>
        <v>1633175.9000000001</v>
      </c>
      <c r="F271" s="1">
        <f>804*565.7</f>
        <v>454822.80000000005</v>
      </c>
      <c r="G271" s="1">
        <f>1693*565.7</f>
        <v>957730.10000000009</v>
      </c>
      <c r="H271" s="1">
        <f>390*565.7</f>
        <v>220623.00000000003</v>
      </c>
      <c r="I271" s="1">
        <v>0</v>
      </c>
      <c r="J271" s="1">
        <v>0</v>
      </c>
      <c r="K271" s="1">
        <v>0</v>
      </c>
      <c r="L271" s="2">
        <v>0</v>
      </c>
      <c r="M271" s="1">
        <v>0</v>
      </c>
      <c r="N271" s="1">
        <v>410</v>
      </c>
      <c r="O271" s="1">
        <f>N271*7750</f>
        <v>3177500</v>
      </c>
      <c r="P271" s="1">
        <v>50</v>
      </c>
      <c r="Q271" s="1">
        <f t="shared" si="197"/>
        <v>70000</v>
      </c>
      <c r="R271" s="1">
        <v>327</v>
      </c>
      <c r="S271" s="1">
        <f t="shared" si="196"/>
        <v>1226577</v>
      </c>
      <c r="T271" s="1">
        <v>150000</v>
      </c>
      <c r="U271" s="1">
        <v>50000</v>
      </c>
      <c r="V271" s="1">
        <v>0</v>
      </c>
      <c r="W271" s="1">
        <v>50000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</row>
    <row r="272" spans="1:30" s="20" customFormat="1" ht="36" customHeight="1" x14ac:dyDescent="0.25">
      <c r="A272" s="2">
        <f t="shared" si="194"/>
        <v>246</v>
      </c>
      <c r="B272" s="6">
        <f t="shared" si="185"/>
        <v>246</v>
      </c>
      <c r="C272" s="19" t="s">
        <v>156</v>
      </c>
      <c r="D272" s="4">
        <f t="shared" si="193"/>
        <v>7000660.2000000002</v>
      </c>
      <c r="E272" s="1">
        <f t="shared" si="195"/>
        <v>1687740.2000000002</v>
      </c>
      <c r="F272" s="1">
        <f>804*584.6</f>
        <v>470018.4</v>
      </c>
      <c r="G272" s="1">
        <f>1693*584.6</f>
        <v>989727.8</v>
      </c>
      <c r="H272" s="1">
        <f>390*584.6</f>
        <v>227994</v>
      </c>
      <c r="I272" s="1">
        <v>0</v>
      </c>
      <c r="J272" s="1">
        <v>0</v>
      </c>
      <c r="K272" s="1">
        <v>0</v>
      </c>
      <c r="L272" s="2">
        <v>0</v>
      </c>
      <c r="M272" s="1">
        <v>0</v>
      </c>
      <c r="N272" s="1">
        <v>450</v>
      </c>
      <c r="O272" s="1">
        <f>N272*7750</f>
        <v>3487500</v>
      </c>
      <c r="P272" s="1">
        <v>0</v>
      </c>
      <c r="Q272" s="1">
        <f t="shared" si="197"/>
        <v>0</v>
      </c>
      <c r="R272" s="1">
        <v>420</v>
      </c>
      <c r="S272" s="1">
        <f t="shared" si="196"/>
        <v>1575420</v>
      </c>
      <c r="T272" s="1">
        <v>150000</v>
      </c>
      <c r="U272" s="1">
        <v>50000</v>
      </c>
      <c r="V272" s="1">
        <v>0</v>
      </c>
      <c r="W272" s="1">
        <v>50000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</row>
    <row r="273" spans="1:30" s="20" customFormat="1" ht="36" customHeight="1" x14ac:dyDescent="0.25">
      <c r="A273" s="2">
        <f t="shared" si="194"/>
        <v>247</v>
      </c>
      <c r="B273" s="6">
        <f t="shared" si="185"/>
        <v>247</v>
      </c>
      <c r="C273" s="19" t="s">
        <v>157</v>
      </c>
      <c r="D273" s="4">
        <f t="shared" si="193"/>
        <v>1689085</v>
      </c>
      <c r="E273" s="1">
        <f t="shared" si="195"/>
        <v>358797</v>
      </c>
      <c r="F273" s="1">
        <f>804*300.5</f>
        <v>241602</v>
      </c>
      <c r="G273" s="1">
        <v>0</v>
      </c>
      <c r="H273" s="1">
        <f>390*300.5</f>
        <v>117195</v>
      </c>
      <c r="I273" s="1">
        <v>0</v>
      </c>
      <c r="J273" s="1">
        <v>0</v>
      </c>
      <c r="K273" s="1">
        <v>0</v>
      </c>
      <c r="L273" s="2">
        <v>0</v>
      </c>
      <c r="M273" s="1">
        <v>0</v>
      </c>
      <c r="N273" s="1">
        <v>0</v>
      </c>
      <c r="O273" s="1">
        <v>0</v>
      </c>
      <c r="P273" s="1">
        <v>0</v>
      </c>
      <c r="Q273" s="1">
        <f t="shared" si="197"/>
        <v>0</v>
      </c>
      <c r="R273" s="1">
        <v>288</v>
      </c>
      <c r="S273" s="1">
        <f t="shared" si="196"/>
        <v>1080288</v>
      </c>
      <c r="T273" s="1">
        <v>150000</v>
      </c>
      <c r="U273" s="1">
        <v>50000</v>
      </c>
      <c r="V273" s="1">
        <v>0</v>
      </c>
      <c r="W273" s="1">
        <v>50000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</row>
    <row r="274" spans="1:30" s="20" customFormat="1" ht="36" customHeight="1" x14ac:dyDescent="0.25">
      <c r="A274" s="2">
        <f t="shared" si="194"/>
        <v>248</v>
      </c>
      <c r="B274" s="6">
        <f t="shared" si="185"/>
        <v>248</v>
      </c>
      <c r="C274" s="19" t="s">
        <v>158</v>
      </c>
      <c r="D274" s="4">
        <f t="shared" si="193"/>
        <v>4112652.92</v>
      </c>
      <c r="E274" s="1">
        <f t="shared" si="195"/>
        <v>321181.92000000004</v>
      </c>
      <c r="F274" s="1">
        <f>804*399.48</f>
        <v>321181.92000000004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2">
        <v>0</v>
      </c>
      <c r="M274" s="1">
        <v>0</v>
      </c>
      <c r="N274" s="1">
        <v>350</v>
      </c>
      <c r="O274" s="1">
        <f>N274*7750</f>
        <v>2712500</v>
      </c>
      <c r="P274" s="1">
        <v>0</v>
      </c>
      <c r="Q274" s="1">
        <f t="shared" si="197"/>
        <v>0</v>
      </c>
      <c r="R274" s="1">
        <v>221</v>
      </c>
      <c r="S274" s="1">
        <f t="shared" si="196"/>
        <v>828971</v>
      </c>
      <c r="T274" s="1">
        <v>150000</v>
      </c>
      <c r="U274" s="1">
        <v>50000</v>
      </c>
      <c r="V274" s="1">
        <v>0</v>
      </c>
      <c r="W274" s="1">
        <v>50000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</row>
    <row r="275" spans="1:30" s="20" customFormat="1" ht="36" customHeight="1" x14ac:dyDescent="0.25">
      <c r="A275" s="2">
        <f t="shared" si="194"/>
        <v>249</v>
      </c>
      <c r="B275" s="6">
        <f t="shared" si="185"/>
        <v>249</v>
      </c>
      <c r="C275" s="19" t="s">
        <v>159</v>
      </c>
      <c r="D275" s="4">
        <f t="shared" si="193"/>
        <v>587278</v>
      </c>
      <c r="E275" s="1">
        <f t="shared" si="195"/>
        <v>337278</v>
      </c>
      <c r="F275" s="1">
        <f>804*419.5</f>
        <v>337278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2">
        <v>0</v>
      </c>
      <c r="M275" s="1">
        <v>0</v>
      </c>
      <c r="N275" s="1">
        <v>0</v>
      </c>
      <c r="O275" s="1">
        <v>0</v>
      </c>
      <c r="P275" s="1">
        <v>0</v>
      </c>
      <c r="Q275" s="1">
        <f t="shared" si="197"/>
        <v>0</v>
      </c>
      <c r="R275" s="1">
        <v>0</v>
      </c>
      <c r="S275" s="1">
        <f t="shared" si="196"/>
        <v>0</v>
      </c>
      <c r="T275" s="1">
        <v>150000</v>
      </c>
      <c r="U275" s="1">
        <v>50000</v>
      </c>
      <c r="V275" s="1">
        <v>0</v>
      </c>
      <c r="W275" s="1">
        <v>50000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</row>
    <row r="276" spans="1:30" s="20" customFormat="1" ht="36" customHeight="1" x14ac:dyDescent="0.25">
      <c r="A276" s="2">
        <f t="shared" si="194"/>
        <v>250</v>
      </c>
      <c r="B276" s="6">
        <f t="shared" si="185"/>
        <v>250</v>
      </c>
      <c r="C276" s="19" t="s">
        <v>160</v>
      </c>
      <c r="D276" s="4">
        <f t="shared" si="193"/>
        <v>1111560.7000000002</v>
      </c>
      <c r="E276" s="1">
        <f t="shared" si="195"/>
        <v>861560.70000000007</v>
      </c>
      <c r="F276" s="1">
        <f>804*518.7</f>
        <v>417034.80000000005</v>
      </c>
      <c r="G276" s="1">
        <v>0</v>
      </c>
      <c r="H276" s="1">
        <f>390*518.7</f>
        <v>202293.00000000003</v>
      </c>
      <c r="I276" s="1">
        <v>0</v>
      </c>
      <c r="J276" s="1">
        <f>467*518.7</f>
        <v>242232.90000000002</v>
      </c>
      <c r="K276" s="1">
        <v>0</v>
      </c>
      <c r="L276" s="2">
        <v>0</v>
      </c>
      <c r="M276" s="1">
        <v>0</v>
      </c>
      <c r="N276" s="1">
        <v>0</v>
      </c>
      <c r="O276" s="1">
        <v>0</v>
      </c>
      <c r="P276" s="1">
        <v>0</v>
      </c>
      <c r="Q276" s="1">
        <f t="shared" si="197"/>
        <v>0</v>
      </c>
      <c r="R276" s="1">
        <v>0</v>
      </c>
      <c r="S276" s="1">
        <f t="shared" si="196"/>
        <v>0</v>
      </c>
      <c r="T276" s="1">
        <v>150000</v>
      </c>
      <c r="U276" s="1">
        <v>50000</v>
      </c>
      <c r="V276" s="1">
        <v>0</v>
      </c>
      <c r="W276" s="1">
        <v>50000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</row>
    <row r="277" spans="1:30" s="20" customFormat="1" ht="36" customHeight="1" x14ac:dyDescent="0.25">
      <c r="A277" s="2">
        <f t="shared" si="194"/>
        <v>251</v>
      </c>
      <c r="B277" s="3">
        <f t="shared" si="185"/>
        <v>251</v>
      </c>
      <c r="C277" s="19" t="s">
        <v>1684</v>
      </c>
      <c r="D277" s="4">
        <f t="shared" si="193"/>
        <v>5862500</v>
      </c>
      <c r="E277" s="1">
        <f t="shared" si="195"/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2">
        <v>0</v>
      </c>
      <c r="M277" s="1">
        <v>0</v>
      </c>
      <c r="N277" s="1">
        <v>750</v>
      </c>
      <c r="O277" s="1">
        <f>N277*7750</f>
        <v>5812500</v>
      </c>
      <c r="P277" s="1">
        <v>0</v>
      </c>
      <c r="Q277" s="1">
        <f t="shared" si="197"/>
        <v>0</v>
      </c>
      <c r="R277" s="1">
        <v>0</v>
      </c>
      <c r="S277" s="1">
        <f t="shared" si="196"/>
        <v>0</v>
      </c>
      <c r="T277" s="1">
        <v>0</v>
      </c>
      <c r="U277" s="1">
        <v>0</v>
      </c>
      <c r="V277" s="1">
        <v>0</v>
      </c>
      <c r="W277" s="1">
        <v>50000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</row>
    <row r="278" spans="1:30" s="20" customFormat="1" ht="36" customHeight="1" x14ac:dyDescent="0.25">
      <c r="A278" s="2">
        <f t="shared" si="194"/>
        <v>252</v>
      </c>
      <c r="B278" s="6">
        <f>A278</f>
        <v>252</v>
      </c>
      <c r="C278" s="29" t="s">
        <v>2123</v>
      </c>
      <c r="D278" s="4">
        <f t="shared" si="193"/>
        <v>7757750</v>
      </c>
      <c r="E278" s="1">
        <f>SUM(F278:K278)</f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2">
        <v>0</v>
      </c>
      <c r="M278" s="1">
        <f>L278*3500000</f>
        <v>0</v>
      </c>
      <c r="N278" s="1">
        <v>1001</v>
      </c>
      <c r="O278" s="1">
        <f>N278*7750</f>
        <v>7757750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</row>
    <row r="279" spans="1:30" s="20" customFormat="1" ht="36" customHeight="1" x14ac:dyDescent="0.25">
      <c r="A279" s="2">
        <f t="shared" si="194"/>
        <v>253</v>
      </c>
      <c r="B279" s="6">
        <f>A279</f>
        <v>253</v>
      </c>
      <c r="C279" s="19" t="s">
        <v>165</v>
      </c>
      <c r="D279" s="4">
        <f t="shared" si="193"/>
        <v>766166.2</v>
      </c>
      <c r="E279" s="1">
        <f>SUM(F279:K279)</f>
        <v>516166.2</v>
      </c>
      <c r="F279" s="1">
        <f>804*432.3</f>
        <v>347569.2</v>
      </c>
      <c r="G279" s="1">
        <v>0</v>
      </c>
      <c r="H279" s="1">
        <f>390*432.3</f>
        <v>168597</v>
      </c>
      <c r="I279" s="1">
        <v>0</v>
      </c>
      <c r="J279" s="1">
        <v>0</v>
      </c>
      <c r="K279" s="1">
        <v>0</v>
      </c>
      <c r="L279" s="2">
        <v>0</v>
      </c>
      <c r="M279" s="1">
        <v>0</v>
      </c>
      <c r="N279" s="1">
        <v>0</v>
      </c>
      <c r="O279" s="1">
        <v>0</v>
      </c>
      <c r="P279" s="1">
        <v>0</v>
      </c>
      <c r="Q279" s="1">
        <f>P279*1400</f>
        <v>0</v>
      </c>
      <c r="R279" s="1">
        <v>0</v>
      </c>
      <c r="S279" s="1">
        <f>R279*3751</f>
        <v>0</v>
      </c>
      <c r="T279" s="1">
        <v>150000</v>
      </c>
      <c r="U279" s="1">
        <v>50000</v>
      </c>
      <c r="V279" s="1">
        <v>0</v>
      </c>
      <c r="W279" s="1">
        <v>50000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</row>
    <row r="280" spans="1:30" s="20" customFormat="1" ht="36" customHeight="1" x14ac:dyDescent="0.25">
      <c r="A280" s="2">
        <f t="shared" si="194"/>
        <v>254</v>
      </c>
      <c r="B280" s="6">
        <f>A280</f>
        <v>254</v>
      </c>
      <c r="C280" s="19" t="s">
        <v>166</v>
      </c>
      <c r="D280" s="4">
        <f t="shared" si="193"/>
        <v>2229465.7999999998</v>
      </c>
      <c r="E280" s="1">
        <f>SUM(F280:K280)</f>
        <v>557836.80000000005</v>
      </c>
      <c r="F280" s="1">
        <f>804*467.2</f>
        <v>375628.79999999999</v>
      </c>
      <c r="G280" s="1">
        <v>0</v>
      </c>
      <c r="H280" s="1">
        <f>390*467.2</f>
        <v>182208</v>
      </c>
      <c r="I280" s="1">
        <v>0</v>
      </c>
      <c r="J280" s="1">
        <v>0</v>
      </c>
      <c r="K280" s="1">
        <v>0</v>
      </c>
      <c r="L280" s="2">
        <v>0</v>
      </c>
      <c r="M280" s="1">
        <v>0</v>
      </c>
      <c r="N280" s="1">
        <v>0</v>
      </c>
      <c r="O280" s="1">
        <v>0</v>
      </c>
      <c r="P280" s="1">
        <v>0</v>
      </c>
      <c r="Q280" s="1">
        <f>P280*1400</f>
        <v>0</v>
      </c>
      <c r="R280" s="1">
        <v>379</v>
      </c>
      <c r="S280" s="1">
        <f>R280*3751</f>
        <v>1421629</v>
      </c>
      <c r="T280" s="1">
        <v>150000</v>
      </c>
      <c r="U280" s="1">
        <v>50000</v>
      </c>
      <c r="V280" s="1">
        <v>0</v>
      </c>
      <c r="W280" s="1">
        <v>50000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</row>
    <row r="281" spans="1:30" s="20" customFormat="1" ht="36" customHeight="1" x14ac:dyDescent="0.25">
      <c r="A281" s="2">
        <f t="shared" si="194"/>
        <v>255</v>
      </c>
      <c r="B281" s="6">
        <f t="shared" si="185"/>
        <v>255</v>
      </c>
      <c r="C281" s="19" t="s">
        <v>162</v>
      </c>
      <c r="D281" s="4">
        <f t="shared" si="193"/>
        <v>5732531.4000000004</v>
      </c>
      <c r="E281" s="1">
        <f t="shared" si="195"/>
        <v>610850.4</v>
      </c>
      <c r="F281" s="1">
        <f>804*511.6</f>
        <v>411326.4</v>
      </c>
      <c r="G281" s="1">
        <v>0</v>
      </c>
      <c r="H281" s="1">
        <f>390*511.6</f>
        <v>199524</v>
      </c>
      <c r="I281" s="1">
        <v>0</v>
      </c>
      <c r="J281" s="1">
        <v>0</v>
      </c>
      <c r="K281" s="1">
        <v>0</v>
      </c>
      <c r="L281" s="2">
        <v>0</v>
      </c>
      <c r="M281" s="1">
        <v>0</v>
      </c>
      <c r="N281" s="1">
        <v>420</v>
      </c>
      <c r="O281" s="1">
        <f>N281*7750</f>
        <v>3255000</v>
      </c>
      <c r="P281" s="1">
        <v>0</v>
      </c>
      <c r="Q281" s="1">
        <f t="shared" si="197"/>
        <v>0</v>
      </c>
      <c r="R281" s="1">
        <v>431</v>
      </c>
      <c r="S281" s="1">
        <f t="shared" si="196"/>
        <v>1616681</v>
      </c>
      <c r="T281" s="1">
        <v>150000</v>
      </c>
      <c r="U281" s="1">
        <v>50000</v>
      </c>
      <c r="V281" s="1">
        <v>0</v>
      </c>
      <c r="W281" s="1">
        <v>50000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</row>
    <row r="282" spans="1:30" s="20" customFormat="1" ht="36" customHeight="1" x14ac:dyDescent="0.25">
      <c r="A282" s="2">
        <f t="shared" si="194"/>
        <v>256</v>
      </c>
      <c r="B282" s="6">
        <f t="shared" si="185"/>
        <v>256</v>
      </c>
      <c r="C282" s="19" t="s">
        <v>163</v>
      </c>
      <c r="D282" s="4">
        <f t="shared" si="193"/>
        <v>5748207.5999999996</v>
      </c>
      <c r="E282" s="1">
        <f t="shared" si="195"/>
        <v>657774.6</v>
      </c>
      <c r="F282" s="1">
        <f>804*550.9</f>
        <v>442923.6</v>
      </c>
      <c r="G282" s="1">
        <v>0</v>
      </c>
      <c r="H282" s="1">
        <f>390*550.9</f>
        <v>214851</v>
      </c>
      <c r="I282" s="1">
        <v>0</v>
      </c>
      <c r="J282" s="1">
        <v>0</v>
      </c>
      <c r="K282" s="1">
        <v>0</v>
      </c>
      <c r="L282" s="2">
        <v>0</v>
      </c>
      <c r="M282" s="1">
        <v>0</v>
      </c>
      <c r="N282" s="1">
        <v>415</v>
      </c>
      <c r="O282" s="1">
        <f>N282*7750</f>
        <v>3216250</v>
      </c>
      <c r="P282" s="1">
        <v>0</v>
      </c>
      <c r="Q282" s="1">
        <f t="shared" si="197"/>
        <v>0</v>
      </c>
      <c r="R282" s="1">
        <v>433</v>
      </c>
      <c r="S282" s="1">
        <f t="shared" si="196"/>
        <v>1624183</v>
      </c>
      <c r="T282" s="1">
        <v>150000</v>
      </c>
      <c r="U282" s="1">
        <v>50000</v>
      </c>
      <c r="V282" s="1">
        <v>0</v>
      </c>
      <c r="W282" s="1">
        <v>50000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</row>
    <row r="283" spans="1:30" s="20" customFormat="1" ht="36" customHeight="1" x14ac:dyDescent="0.25">
      <c r="A283" s="2">
        <f t="shared" si="194"/>
        <v>257</v>
      </c>
      <c r="B283" s="6">
        <f t="shared" si="185"/>
        <v>257</v>
      </c>
      <c r="C283" s="19" t="s">
        <v>164</v>
      </c>
      <c r="D283" s="4">
        <f t="shared" si="193"/>
        <v>939773.8</v>
      </c>
      <c r="E283" s="1">
        <f t="shared" si="195"/>
        <v>689773.8</v>
      </c>
      <c r="F283" s="1">
        <f>804*577.7</f>
        <v>464470.80000000005</v>
      </c>
      <c r="G283" s="1">
        <v>0</v>
      </c>
      <c r="H283" s="1">
        <f>390*577.7</f>
        <v>225303.00000000003</v>
      </c>
      <c r="I283" s="1">
        <v>0</v>
      </c>
      <c r="J283" s="1">
        <v>0</v>
      </c>
      <c r="K283" s="1">
        <v>0</v>
      </c>
      <c r="L283" s="2">
        <v>0</v>
      </c>
      <c r="M283" s="1">
        <v>0</v>
      </c>
      <c r="N283" s="1">
        <v>0</v>
      </c>
      <c r="O283" s="1">
        <v>0</v>
      </c>
      <c r="P283" s="1">
        <v>0</v>
      </c>
      <c r="Q283" s="1">
        <f t="shared" si="197"/>
        <v>0</v>
      </c>
      <c r="R283" s="1">
        <v>0</v>
      </c>
      <c r="S283" s="1">
        <f t="shared" si="196"/>
        <v>0</v>
      </c>
      <c r="T283" s="1">
        <v>150000</v>
      </c>
      <c r="U283" s="1">
        <v>50000</v>
      </c>
      <c r="V283" s="1">
        <v>0</v>
      </c>
      <c r="W283" s="1">
        <v>50000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</row>
    <row r="284" spans="1:30" s="20" customFormat="1" ht="36" customHeight="1" x14ac:dyDescent="0.25">
      <c r="A284" s="2">
        <f t="shared" si="194"/>
        <v>258</v>
      </c>
      <c r="B284" s="6">
        <f>A284</f>
        <v>258</v>
      </c>
      <c r="C284" s="19" t="s">
        <v>167</v>
      </c>
      <c r="D284" s="4">
        <f t="shared" si="193"/>
        <v>4558921.2</v>
      </c>
      <c r="E284" s="1">
        <f>SUM(F284:K284)</f>
        <v>663071.19999999995</v>
      </c>
      <c r="F284" s="1">
        <f>804*399.2</f>
        <v>320956.79999999999</v>
      </c>
      <c r="G284" s="1">
        <v>0</v>
      </c>
      <c r="H284" s="1">
        <f>390*399.2</f>
        <v>155688</v>
      </c>
      <c r="I284" s="1">
        <v>0</v>
      </c>
      <c r="J284" s="1">
        <f>467*399.2</f>
        <v>186426.4</v>
      </c>
      <c r="K284" s="1">
        <v>0</v>
      </c>
      <c r="L284" s="2">
        <v>0</v>
      </c>
      <c r="M284" s="1">
        <v>0</v>
      </c>
      <c r="N284" s="1">
        <v>292</v>
      </c>
      <c r="O284" s="1">
        <f>N284*7750</f>
        <v>2263000</v>
      </c>
      <c r="P284" s="1">
        <v>50</v>
      </c>
      <c r="Q284" s="1">
        <f>P284*1400</f>
        <v>70000</v>
      </c>
      <c r="R284" s="1">
        <v>350</v>
      </c>
      <c r="S284" s="1">
        <f>R284*3751</f>
        <v>1312850</v>
      </c>
      <c r="T284" s="1">
        <v>150000</v>
      </c>
      <c r="U284" s="1">
        <v>50000</v>
      </c>
      <c r="V284" s="1">
        <v>0</v>
      </c>
      <c r="W284" s="1">
        <v>50000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</row>
    <row r="285" spans="1:30" s="20" customFormat="1" ht="36" customHeight="1" x14ac:dyDescent="0.25">
      <c r="A285" s="2">
        <f t="shared" si="194"/>
        <v>259</v>
      </c>
      <c r="B285" s="6">
        <f>A285</f>
        <v>259</v>
      </c>
      <c r="C285" s="29" t="s">
        <v>2129</v>
      </c>
      <c r="D285" s="4">
        <f t="shared" si="193"/>
        <v>4402000</v>
      </c>
      <c r="E285" s="1">
        <f>SUM(F285:K285)</f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2">
        <v>0</v>
      </c>
      <c r="M285" s="1">
        <f>L285*3500000</f>
        <v>0</v>
      </c>
      <c r="N285" s="1">
        <v>568</v>
      </c>
      <c r="O285" s="1">
        <f>N285*7750</f>
        <v>4402000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</row>
    <row r="286" spans="1:30" s="20" customFormat="1" ht="36" customHeight="1" x14ac:dyDescent="0.25">
      <c r="A286" s="2">
        <f t="shared" si="194"/>
        <v>260</v>
      </c>
      <c r="B286" s="6">
        <f>A286</f>
        <v>260</v>
      </c>
      <c r="C286" s="19" t="s">
        <v>1715</v>
      </c>
      <c r="D286" s="4">
        <f t="shared" si="193"/>
        <v>3700000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2">
        <v>1</v>
      </c>
      <c r="M286" s="1">
        <f>L286*3500000</f>
        <v>3500000</v>
      </c>
      <c r="N286" s="1">
        <v>0</v>
      </c>
      <c r="O286" s="1">
        <f>N286*7750</f>
        <v>0</v>
      </c>
      <c r="P286" s="1">
        <v>0</v>
      </c>
      <c r="Q286" s="1">
        <f>P286*1400</f>
        <v>0</v>
      </c>
      <c r="R286" s="1">
        <v>0</v>
      </c>
      <c r="S286" s="1">
        <f>R286*3751</f>
        <v>0</v>
      </c>
      <c r="T286" s="1">
        <v>0</v>
      </c>
      <c r="U286" s="1">
        <v>200000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</row>
    <row r="287" spans="1:30" s="20" customFormat="1" ht="36" customHeight="1" x14ac:dyDescent="0.25">
      <c r="A287" s="2">
        <f t="shared" si="194"/>
        <v>261</v>
      </c>
      <c r="B287" s="2">
        <f t="shared" si="185"/>
        <v>261</v>
      </c>
      <c r="C287" s="19" t="s">
        <v>1716</v>
      </c>
      <c r="D287" s="39">
        <f t="shared" si="193"/>
        <v>17700000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2">
        <v>5</v>
      </c>
      <c r="M287" s="1">
        <f>L287*3500000</f>
        <v>17500000</v>
      </c>
      <c r="N287" s="1">
        <v>0</v>
      </c>
      <c r="O287" s="1">
        <f>N287*7750</f>
        <v>0</v>
      </c>
      <c r="P287" s="1">
        <v>0</v>
      </c>
      <c r="Q287" s="1">
        <f t="shared" si="197"/>
        <v>0</v>
      </c>
      <c r="R287" s="1">
        <v>0</v>
      </c>
      <c r="S287" s="1">
        <f t="shared" si="196"/>
        <v>0</v>
      </c>
      <c r="T287" s="1">
        <v>0</v>
      </c>
      <c r="U287" s="1">
        <v>200000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</row>
    <row r="288" spans="1:30" s="20" customFormat="1" ht="54.95" customHeight="1" x14ac:dyDescent="0.25">
      <c r="A288" s="3"/>
      <c r="B288" s="47" t="s">
        <v>1980</v>
      </c>
      <c r="C288" s="48"/>
      <c r="D288" s="4">
        <f>SUM(D289:D365)</f>
        <v>703813041.57999992</v>
      </c>
      <c r="E288" s="4">
        <f t="shared" ref="E288:AD288" si="198">SUM(E289:E365)</f>
        <v>256680191.89000008</v>
      </c>
      <c r="F288" s="4">
        <f t="shared" si="198"/>
        <v>63064850.279999979</v>
      </c>
      <c r="G288" s="4">
        <f t="shared" si="198"/>
        <v>115618474.50999999</v>
      </c>
      <c r="H288" s="4">
        <f t="shared" si="198"/>
        <v>29047032.300000001</v>
      </c>
      <c r="I288" s="4">
        <f t="shared" si="198"/>
        <v>14917504.009999998</v>
      </c>
      <c r="J288" s="4">
        <f t="shared" si="198"/>
        <v>34032330.789999999</v>
      </c>
      <c r="K288" s="4">
        <f t="shared" si="198"/>
        <v>0</v>
      </c>
      <c r="L288" s="17">
        <f t="shared" si="198"/>
        <v>30</v>
      </c>
      <c r="M288" s="4">
        <f t="shared" si="198"/>
        <v>105000000</v>
      </c>
      <c r="N288" s="4">
        <f t="shared" si="198"/>
        <v>29144.630000000008</v>
      </c>
      <c r="O288" s="4">
        <f t="shared" si="198"/>
        <v>201567366.44</v>
      </c>
      <c r="P288" s="4">
        <f t="shared" si="198"/>
        <v>850</v>
      </c>
      <c r="Q288" s="4">
        <f t="shared" si="198"/>
        <v>1190000</v>
      </c>
      <c r="R288" s="4">
        <f t="shared" si="198"/>
        <v>35170.75</v>
      </c>
      <c r="S288" s="4">
        <f t="shared" si="198"/>
        <v>131925483.24999997</v>
      </c>
      <c r="T288" s="4">
        <f t="shared" si="198"/>
        <v>0</v>
      </c>
      <c r="U288" s="4">
        <f t="shared" si="198"/>
        <v>5100000</v>
      </c>
      <c r="V288" s="4">
        <f t="shared" si="198"/>
        <v>0</v>
      </c>
      <c r="W288" s="4">
        <f t="shared" si="198"/>
        <v>2350000</v>
      </c>
      <c r="X288" s="4">
        <f t="shared" si="198"/>
        <v>0</v>
      </c>
      <c r="Y288" s="4">
        <f t="shared" si="198"/>
        <v>0</v>
      </c>
      <c r="Z288" s="4">
        <f t="shared" si="198"/>
        <v>0</v>
      </c>
      <c r="AA288" s="4">
        <f t="shared" si="198"/>
        <v>0</v>
      </c>
      <c r="AB288" s="4">
        <f t="shared" si="198"/>
        <v>0</v>
      </c>
      <c r="AC288" s="4">
        <f t="shared" si="198"/>
        <v>0</v>
      </c>
      <c r="AD288" s="4">
        <f t="shared" si="198"/>
        <v>0</v>
      </c>
    </row>
    <row r="289" spans="1:30" s="20" customFormat="1" ht="36" customHeight="1" x14ac:dyDescent="0.25">
      <c r="A289" s="2">
        <f t="shared" ref="A289:A358" si="199">ROW()-ROW($A$11)-16</f>
        <v>262</v>
      </c>
      <c r="B289" s="6">
        <f>A289</f>
        <v>262</v>
      </c>
      <c r="C289" s="19" t="s">
        <v>2240</v>
      </c>
      <c r="D289" s="4">
        <f t="shared" ref="D289:D320" si="200">E289+M289+O289+Q289+S289+T289+U289+V289+X289+W289+Z289+AA289+AB289+AC289+AD289</f>
        <v>3700000</v>
      </c>
      <c r="E289" s="1">
        <f>SUM(F289:K289)</f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2">
        <v>1</v>
      </c>
      <c r="M289" s="1">
        <f>L289*3500000</f>
        <v>3500000</v>
      </c>
      <c r="N289" s="1">
        <v>0</v>
      </c>
      <c r="O289" s="1">
        <f>N289*4968</f>
        <v>0</v>
      </c>
      <c r="P289" s="1">
        <v>0</v>
      </c>
      <c r="Q289" s="1">
        <f>P289*1400</f>
        <v>0</v>
      </c>
      <c r="R289" s="1">
        <v>0</v>
      </c>
      <c r="S289" s="1">
        <f>R289*3751</f>
        <v>0</v>
      </c>
      <c r="T289" s="1">
        <v>0</v>
      </c>
      <c r="U289" s="1">
        <v>200000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</row>
    <row r="290" spans="1:30" s="20" customFormat="1" ht="36" customHeight="1" x14ac:dyDescent="0.25">
      <c r="A290" s="2">
        <f>ROW()-ROW($A$11)-16</f>
        <v>263</v>
      </c>
      <c r="B290" s="6">
        <f>A290</f>
        <v>263</v>
      </c>
      <c r="C290" s="19" t="s">
        <v>2227</v>
      </c>
      <c r="D290" s="4">
        <f t="shared" si="200"/>
        <v>3700000</v>
      </c>
      <c r="E290" s="1">
        <f>SUM(F290:K290)</f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2">
        <v>1</v>
      </c>
      <c r="M290" s="1">
        <f>L290*3500000</f>
        <v>3500000</v>
      </c>
      <c r="N290" s="1">
        <v>0</v>
      </c>
      <c r="O290" s="1">
        <f>N290*4968</f>
        <v>0</v>
      </c>
      <c r="P290" s="1">
        <v>0</v>
      </c>
      <c r="Q290" s="1">
        <f>P290*1400</f>
        <v>0</v>
      </c>
      <c r="R290" s="1">
        <v>0</v>
      </c>
      <c r="S290" s="1">
        <f>R290*3751</f>
        <v>0</v>
      </c>
      <c r="T290" s="1">
        <v>0</v>
      </c>
      <c r="U290" s="1">
        <v>200000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</row>
    <row r="291" spans="1:30" s="20" customFormat="1" ht="36" customHeight="1" x14ac:dyDescent="0.25">
      <c r="A291" s="2">
        <f t="shared" si="199"/>
        <v>264</v>
      </c>
      <c r="B291" s="6">
        <f>A291</f>
        <v>264</v>
      </c>
      <c r="C291" s="19" t="s">
        <v>2241</v>
      </c>
      <c r="D291" s="4">
        <f t="shared" si="200"/>
        <v>7200000</v>
      </c>
      <c r="E291" s="1">
        <f>SUM(F291:K291)</f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2">
        <v>2</v>
      </c>
      <c r="M291" s="1">
        <f>L291*3500000</f>
        <v>7000000</v>
      </c>
      <c r="N291" s="1">
        <v>0</v>
      </c>
      <c r="O291" s="1">
        <f>N291*4968</f>
        <v>0</v>
      </c>
      <c r="P291" s="1">
        <v>0</v>
      </c>
      <c r="Q291" s="1">
        <f>P291*1400</f>
        <v>0</v>
      </c>
      <c r="R291" s="1">
        <v>0</v>
      </c>
      <c r="S291" s="1">
        <f>R291*3751</f>
        <v>0</v>
      </c>
      <c r="T291" s="1">
        <v>0</v>
      </c>
      <c r="U291" s="1">
        <v>200000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</row>
    <row r="292" spans="1:30" s="20" customFormat="1" ht="36" customHeight="1" x14ac:dyDescent="0.25">
      <c r="A292" s="2">
        <f t="shared" si="199"/>
        <v>265</v>
      </c>
      <c r="B292" s="6">
        <f>A292</f>
        <v>265</v>
      </c>
      <c r="C292" s="19" t="s">
        <v>2242</v>
      </c>
      <c r="D292" s="4">
        <f t="shared" si="200"/>
        <v>7200000</v>
      </c>
      <c r="E292" s="1">
        <f>SUM(F292:K292)</f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2">
        <v>2</v>
      </c>
      <c r="M292" s="1">
        <f>L292*3500000</f>
        <v>7000000</v>
      </c>
      <c r="N292" s="1">
        <v>0</v>
      </c>
      <c r="O292" s="1">
        <f>N292*4968</f>
        <v>0</v>
      </c>
      <c r="P292" s="1">
        <v>0</v>
      </c>
      <c r="Q292" s="1">
        <f>P292*1400</f>
        <v>0</v>
      </c>
      <c r="R292" s="1">
        <v>0</v>
      </c>
      <c r="S292" s="1">
        <f>R292*3751</f>
        <v>0</v>
      </c>
      <c r="T292" s="1">
        <v>0</v>
      </c>
      <c r="U292" s="1">
        <v>200000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</row>
    <row r="293" spans="1:30" s="20" customFormat="1" ht="36" customHeight="1" x14ac:dyDescent="0.25">
      <c r="A293" s="2">
        <f>ROW()-ROW($A$11)-16</f>
        <v>266</v>
      </c>
      <c r="B293" s="6">
        <f t="shared" ref="B293:B360" si="201">A293</f>
        <v>266</v>
      </c>
      <c r="C293" s="19" t="s">
        <v>170</v>
      </c>
      <c r="D293" s="4">
        <f t="shared" si="200"/>
        <v>25329133.939999998</v>
      </c>
      <c r="E293" s="1">
        <f>SUM(F293:K293)</f>
        <v>14208892.499999998</v>
      </c>
      <c r="F293" s="1">
        <f>804*3620.1</f>
        <v>2910560.4</v>
      </c>
      <c r="G293" s="1">
        <f>1693*3620.1</f>
        <v>6128829.2999999998</v>
      </c>
      <c r="H293" s="1">
        <f>390*3620.1</f>
        <v>1411839</v>
      </c>
      <c r="I293" s="1">
        <f>571*3620.1</f>
        <v>2067077.0999999999</v>
      </c>
      <c r="J293" s="1">
        <f>467*3620.1</f>
        <v>1690586.7</v>
      </c>
      <c r="K293" s="1">
        <v>0</v>
      </c>
      <c r="L293" s="2">
        <v>0</v>
      </c>
      <c r="M293" s="1">
        <v>0</v>
      </c>
      <c r="N293" s="1">
        <v>917.58</v>
      </c>
      <c r="O293" s="1">
        <f>N293*4968</f>
        <v>4558537.4400000004</v>
      </c>
      <c r="P293" s="1">
        <v>50</v>
      </c>
      <c r="Q293" s="1">
        <f>P293*1400</f>
        <v>70000</v>
      </c>
      <c r="R293" s="1">
        <v>1704</v>
      </c>
      <c r="S293" s="1">
        <f>R293*3751</f>
        <v>6391704</v>
      </c>
      <c r="T293" s="1">
        <v>0</v>
      </c>
      <c r="U293" s="1">
        <v>50000</v>
      </c>
      <c r="V293" s="1">
        <v>0</v>
      </c>
      <c r="W293" s="1">
        <v>50000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</row>
    <row r="294" spans="1:30" s="20" customFormat="1" ht="36" customHeight="1" x14ac:dyDescent="0.25">
      <c r="A294" s="2">
        <f t="shared" si="199"/>
        <v>267</v>
      </c>
      <c r="B294" s="6">
        <f t="shared" si="201"/>
        <v>267</v>
      </c>
      <c r="C294" s="19" t="s">
        <v>171</v>
      </c>
      <c r="D294" s="4">
        <f t="shared" si="200"/>
        <v>36865260</v>
      </c>
      <c r="E294" s="1">
        <f t="shared" ref="E294:E362" si="202">SUM(F294:K294)</f>
        <v>19000925</v>
      </c>
      <c r="F294" s="1">
        <f>804*4841</f>
        <v>3892164</v>
      </c>
      <c r="G294" s="1">
        <f>1693*4841</f>
        <v>8195813</v>
      </c>
      <c r="H294" s="1">
        <f>390*4841</f>
        <v>1887990</v>
      </c>
      <c r="I294" s="1">
        <f>571*4841</f>
        <v>2764211</v>
      </c>
      <c r="J294" s="1">
        <f>467*4841</f>
        <v>2260747</v>
      </c>
      <c r="K294" s="1">
        <v>0</v>
      </c>
      <c r="L294" s="2">
        <v>0</v>
      </c>
      <c r="M294" s="1">
        <v>0</v>
      </c>
      <c r="N294" s="1">
        <v>1237.7</v>
      </c>
      <c r="O294" s="1">
        <f>N294*7750</f>
        <v>9592175</v>
      </c>
      <c r="P294" s="1">
        <v>50</v>
      </c>
      <c r="Q294" s="1">
        <f t="shared" ref="Q294:Q362" si="203">P294*1400</f>
        <v>70000</v>
      </c>
      <c r="R294" s="1">
        <v>2160</v>
      </c>
      <c r="S294" s="1">
        <f t="shared" ref="S294:S362" si="204">R294*3751</f>
        <v>8102160</v>
      </c>
      <c r="T294" s="1">
        <v>0</v>
      </c>
      <c r="U294" s="1">
        <v>50000</v>
      </c>
      <c r="V294" s="1">
        <v>0</v>
      </c>
      <c r="W294" s="1">
        <v>50000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</row>
    <row r="295" spans="1:30" s="20" customFormat="1" ht="36" customHeight="1" x14ac:dyDescent="0.25">
      <c r="A295" s="2">
        <f t="shared" si="199"/>
        <v>268</v>
      </c>
      <c r="B295" s="6">
        <f t="shared" si="201"/>
        <v>268</v>
      </c>
      <c r="C295" s="19" t="s">
        <v>172</v>
      </c>
      <c r="D295" s="4">
        <f t="shared" si="200"/>
        <v>33484499.52</v>
      </c>
      <c r="E295" s="1">
        <f t="shared" si="202"/>
        <v>18981692.5</v>
      </c>
      <c r="F295" s="1">
        <f>804*4836.1</f>
        <v>3888224.4000000004</v>
      </c>
      <c r="G295" s="1">
        <f>1693*4836.1</f>
        <v>8187517.3000000007</v>
      </c>
      <c r="H295" s="1">
        <f>390*4836.1</f>
        <v>1886079.0000000002</v>
      </c>
      <c r="I295" s="1">
        <f>571*4836.1</f>
        <v>2761413.1</v>
      </c>
      <c r="J295" s="1">
        <f>467*4836.1</f>
        <v>2258458.7000000002</v>
      </c>
      <c r="K295" s="1">
        <v>0</v>
      </c>
      <c r="L295" s="2">
        <v>0</v>
      </c>
      <c r="M295" s="1">
        <v>0</v>
      </c>
      <c r="N295" s="1">
        <v>1233</v>
      </c>
      <c r="O295" s="1">
        <f>N295*4968</f>
        <v>6125544</v>
      </c>
      <c r="P295" s="1">
        <v>50</v>
      </c>
      <c r="Q295" s="1">
        <f t="shared" si="203"/>
        <v>70000</v>
      </c>
      <c r="R295" s="1">
        <v>2188.02</v>
      </c>
      <c r="S295" s="1">
        <f t="shared" si="204"/>
        <v>8207263.0199999996</v>
      </c>
      <c r="T295" s="1">
        <v>0</v>
      </c>
      <c r="U295" s="1">
        <v>50000</v>
      </c>
      <c r="V295" s="1">
        <v>0</v>
      </c>
      <c r="W295" s="1">
        <v>50000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</row>
    <row r="296" spans="1:30" s="20" customFormat="1" ht="36" customHeight="1" x14ac:dyDescent="0.25">
      <c r="A296" s="2">
        <f t="shared" si="199"/>
        <v>269</v>
      </c>
      <c r="B296" s="6">
        <f t="shared" si="201"/>
        <v>269</v>
      </c>
      <c r="C296" s="19" t="s">
        <v>173</v>
      </c>
      <c r="D296" s="4">
        <f t="shared" si="200"/>
        <v>36984468.990000002</v>
      </c>
      <c r="E296" s="1">
        <f t="shared" si="202"/>
        <v>18867475</v>
      </c>
      <c r="F296" s="1">
        <f>804*4807</f>
        <v>3864828</v>
      </c>
      <c r="G296" s="1">
        <f>1693*4807</f>
        <v>8138251</v>
      </c>
      <c r="H296" s="1">
        <f>390*4807</f>
        <v>1874730</v>
      </c>
      <c r="I296" s="1">
        <f>571*4807</f>
        <v>2744797</v>
      </c>
      <c r="J296" s="1">
        <f>467*4807</f>
        <v>2244869</v>
      </c>
      <c r="K296" s="1">
        <v>0</v>
      </c>
      <c r="L296" s="2">
        <v>0</v>
      </c>
      <c r="M296" s="1">
        <v>0</v>
      </c>
      <c r="N296" s="1">
        <v>1235.7</v>
      </c>
      <c r="O296" s="1">
        <f>N296*7750</f>
        <v>9576675</v>
      </c>
      <c r="P296" s="1">
        <v>50</v>
      </c>
      <c r="Q296" s="1">
        <f t="shared" si="203"/>
        <v>70000</v>
      </c>
      <c r="R296" s="1">
        <v>2231.4899999999998</v>
      </c>
      <c r="S296" s="1">
        <f t="shared" si="204"/>
        <v>8370318.9899999993</v>
      </c>
      <c r="T296" s="1">
        <v>0</v>
      </c>
      <c r="U296" s="1">
        <v>50000</v>
      </c>
      <c r="V296" s="1">
        <v>0</v>
      </c>
      <c r="W296" s="1">
        <v>50000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</row>
    <row r="297" spans="1:30" s="20" customFormat="1" ht="36" customHeight="1" x14ac:dyDescent="0.25">
      <c r="A297" s="2">
        <f t="shared" si="199"/>
        <v>270</v>
      </c>
      <c r="B297" s="6">
        <f>A297</f>
        <v>270</v>
      </c>
      <c r="C297" s="19" t="s">
        <v>2239</v>
      </c>
      <c r="D297" s="4">
        <f t="shared" si="200"/>
        <v>7200000</v>
      </c>
      <c r="E297" s="1">
        <f>SUM(F297:K297)</f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2">
        <v>2</v>
      </c>
      <c r="M297" s="1">
        <f>L297*3500000</f>
        <v>7000000</v>
      </c>
      <c r="N297" s="1">
        <v>0</v>
      </c>
      <c r="O297" s="1">
        <f>N297*4968</f>
        <v>0</v>
      </c>
      <c r="P297" s="1">
        <v>0</v>
      </c>
      <c r="Q297" s="1">
        <f>P297*1400</f>
        <v>0</v>
      </c>
      <c r="R297" s="1">
        <v>0</v>
      </c>
      <c r="S297" s="1">
        <f>R297*3751</f>
        <v>0</v>
      </c>
      <c r="T297" s="1">
        <v>0</v>
      </c>
      <c r="U297" s="1">
        <v>200000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</row>
    <row r="298" spans="1:30" s="20" customFormat="1" ht="36" customHeight="1" x14ac:dyDescent="0.25">
      <c r="A298" s="2">
        <f t="shared" si="199"/>
        <v>271</v>
      </c>
      <c r="B298" s="6">
        <f t="shared" si="201"/>
        <v>271</v>
      </c>
      <c r="C298" s="19" t="s">
        <v>175</v>
      </c>
      <c r="D298" s="4">
        <f t="shared" si="200"/>
        <v>7375676.04</v>
      </c>
      <c r="E298" s="1">
        <f t="shared" si="202"/>
        <v>5889825.2400000002</v>
      </c>
      <c r="F298" s="1">
        <f>804*1756.06</f>
        <v>1411872.24</v>
      </c>
      <c r="G298" s="1">
        <f>1693*1756.06</f>
        <v>2973009.58</v>
      </c>
      <c r="H298" s="1">
        <f>390*1756.06</f>
        <v>684863.4</v>
      </c>
      <c r="I298" s="1">
        <v>0</v>
      </c>
      <c r="J298" s="1">
        <f>467*1756.06</f>
        <v>820080.02</v>
      </c>
      <c r="K298" s="1">
        <v>0</v>
      </c>
      <c r="L298" s="2">
        <v>0</v>
      </c>
      <c r="M298" s="1">
        <v>0</v>
      </c>
      <c r="N298" s="1">
        <v>0</v>
      </c>
      <c r="O298" s="1">
        <v>0</v>
      </c>
      <c r="P298" s="1">
        <v>50</v>
      </c>
      <c r="Q298" s="1">
        <f t="shared" si="203"/>
        <v>70000</v>
      </c>
      <c r="R298" s="1">
        <v>350.8</v>
      </c>
      <c r="S298" s="1">
        <f t="shared" si="204"/>
        <v>1315850.8</v>
      </c>
      <c r="T298" s="1">
        <v>0</v>
      </c>
      <c r="U298" s="1">
        <v>50000</v>
      </c>
      <c r="V298" s="1">
        <v>0</v>
      </c>
      <c r="W298" s="1">
        <v>50000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</row>
    <row r="299" spans="1:30" s="20" customFormat="1" ht="36" customHeight="1" x14ac:dyDescent="0.25">
      <c r="A299" s="2">
        <f t="shared" si="199"/>
        <v>272</v>
      </c>
      <c r="B299" s="6">
        <f t="shared" si="201"/>
        <v>272</v>
      </c>
      <c r="C299" s="19" t="s">
        <v>176</v>
      </c>
      <c r="D299" s="4">
        <f t="shared" si="200"/>
        <v>8264620.1999999993</v>
      </c>
      <c r="E299" s="1">
        <f t="shared" si="202"/>
        <v>6778769.3999999994</v>
      </c>
      <c r="F299" s="1">
        <f>804*2021.1</f>
        <v>1624964.4</v>
      </c>
      <c r="G299" s="1">
        <f>1693*2021.1</f>
        <v>3421722.3</v>
      </c>
      <c r="H299" s="1">
        <f>390*2021.1</f>
        <v>788229</v>
      </c>
      <c r="I299" s="1">
        <v>0</v>
      </c>
      <c r="J299" s="1">
        <f>467*2021.1</f>
        <v>943853.7</v>
      </c>
      <c r="K299" s="1">
        <v>0</v>
      </c>
      <c r="L299" s="2">
        <v>0</v>
      </c>
      <c r="M299" s="1">
        <v>0</v>
      </c>
      <c r="N299" s="1">
        <v>0</v>
      </c>
      <c r="O299" s="1">
        <v>0</v>
      </c>
      <c r="P299" s="1">
        <v>50</v>
      </c>
      <c r="Q299" s="1">
        <f t="shared" si="203"/>
        <v>70000</v>
      </c>
      <c r="R299" s="1">
        <v>350.8</v>
      </c>
      <c r="S299" s="1">
        <f t="shared" si="204"/>
        <v>1315850.8</v>
      </c>
      <c r="T299" s="1">
        <v>0</v>
      </c>
      <c r="U299" s="1">
        <v>50000</v>
      </c>
      <c r="V299" s="1">
        <v>0</v>
      </c>
      <c r="W299" s="1">
        <v>50000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</row>
    <row r="300" spans="1:30" s="20" customFormat="1" ht="36" customHeight="1" x14ac:dyDescent="0.25">
      <c r="A300" s="2">
        <f t="shared" si="199"/>
        <v>273</v>
      </c>
      <c r="B300" s="6">
        <f>A300</f>
        <v>273</v>
      </c>
      <c r="C300" s="19" t="s">
        <v>174</v>
      </c>
      <c r="D300" s="4">
        <f t="shared" si="200"/>
        <v>1435850.8</v>
      </c>
      <c r="E300" s="1">
        <f>SUM(F300:K300)</f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2">
        <v>0</v>
      </c>
      <c r="M300" s="1">
        <v>0</v>
      </c>
      <c r="N300" s="1">
        <v>0</v>
      </c>
      <c r="O300" s="1">
        <v>0</v>
      </c>
      <c r="P300" s="1">
        <v>50</v>
      </c>
      <c r="Q300" s="1">
        <f>P300*1400</f>
        <v>70000</v>
      </c>
      <c r="R300" s="1">
        <v>350.8</v>
      </c>
      <c r="S300" s="1">
        <f>R300*3751</f>
        <v>1315850.8</v>
      </c>
      <c r="T300" s="1">
        <v>0</v>
      </c>
      <c r="U300" s="1">
        <v>0</v>
      </c>
      <c r="V300" s="1">
        <v>0</v>
      </c>
      <c r="W300" s="1">
        <v>50000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</row>
    <row r="301" spans="1:30" s="20" customFormat="1" ht="36" customHeight="1" x14ac:dyDescent="0.25">
      <c r="A301" s="2">
        <f t="shared" si="199"/>
        <v>274</v>
      </c>
      <c r="B301" s="6">
        <f>A301</f>
        <v>274</v>
      </c>
      <c r="C301" s="19" t="s">
        <v>2243</v>
      </c>
      <c r="D301" s="4">
        <f t="shared" si="200"/>
        <v>17700000</v>
      </c>
      <c r="E301" s="1">
        <f>SUM(F301:K301)</f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2">
        <v>5</v>
      </c>
      <c r="M301" s="1">
        <f>L301*3500000</f>
        <v>17500000</v>
      </c>
      <c r="N301" s="1">
        <v>0</v>
      </c>
      <c r="O301" s="1">
        <f>N301*4968</f>
        <v>0</v>
      </c>
      <c r="P301" s="1">
        <v>0</v>
      </c>
      <c r="Q301" s="1">
        <f>P301*1400</f>
        <v>0</v>
      </c>
      <c r="R301" s="1">
        <v>0</v>
      </c>
      <c r="S301" s="1">
        <f>R301*3751</f>
        <v>0</v>
      </c>
      <c r="T301" s="1">
        <v>0</v>
      </c>
      <c r="U301" s="1">
        <v>200000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</row>
    <row r="302" spans="1:30" s="20" customFormat="1" ht="36" customHeight="1" x14ac:dyDescent="0.25">
      <c r="A302" s="2">
        <f t="shared" si="199"/>
        <v>275</v>
      </c>
      <c r="B302" s="6">
        <f>A302</f>
        <v>275</v>
      </c>
      <c r="C302" s="19" t="s">
        <v>1705</v>
      </c>
      <c r="D302" s="4">
        <f t="shared" si="200"/>
        <v>10700000</v>
      </c>
      <c r="E302" s="1">
        <f>SUM(F302:K302)</f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2">
        <v>3</v>
      </c>
      <c r="M302" s="1">
        <f>L302*3500000</f>
        <v>10500000</v>
      </c>
      <c r="N302" s="1">
        <v>0</v>
      </c>
      <c r="O302" s="1">
        <f>N302*4968</f>
        <v>0</v>
      </c>
      <c r="P302" s="1">
        <v>0</v>
      </c>
      <c r="Q302" s="1">
        <f>P302*1400</f>
        <v>0</v>
      </c>
      <c r="R302" s="1">
        <v>0</v>
      </c>
      <c r="S302" s="1">
        <f>R302*3751</f>
        <v>0</v>
      </c>
      <c r="T302" s="1">
        <v>0</v>
      </c>
      <c r="U302" s="1">
        <v>200000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</row>
    <row r="303" spans="1:30" s="20" customFormat="1" ht="36" customHeight="1" x14ac:dyDescent="0.25">
      <c r="A303" s="2">
        <f t="shared" si="199"/>
        <v>276</v>
      </c>
      <c r="B303" s="6">
        <f>A303</f>
        <v>276</v>
      </c>
      <c r="C303" s="19" t="s">
        <v>1706</v>
      </c>
      <c r="D303" s="4">
        <f t="shared" si="200"/>
        <v>10700000</v>
      </c>
      <c r="E303" s="1">
        <f>SUM(F303:K303)</f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2">
        <v>3</v>
      </c>
      <c r="M303" s="1">
        <f>L303*3500000</f>
        <v>10500000</v>
      </c>
      <c r="N303" s="1">
        <v>0</v>
      </c>
      <c r="O303" s="1">
        <f>N303*4968</f>
        <v>0</v>
      </c>
      <c r="P303" s="1">
        <v>0</v>
      </c>
      <c r="Q303" s="1">
        <f>P303*1400</f>
        <v>0</v>
      </c>
      <c r="R303" s="1">
        <v>0</v>
      </c>
      <c r="S303" s="1">
        <f>R303*3751</f>
        <v>0</v>
      </c>
      <c r="T303" s="1">
        <v>0</v>
      </c>
      <c r="U303" s="1">
        <v>200000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</row>
    <row r="304" spans="1:30" s="20" customFormat="1" ht="36" customHeight="1" x14ac:dyDescent="0.25">
      <c r="A304" s="2">
        <f t="shared" si="199"/>
        <v>277</v>
      </c>
      <c r="B304" s="6">
        <f t="shared" si="201"/>
        <v>277</v>
      </c>
      <c r="C304" s="19" t="s">
        <v>178</v>
      </c>
      <c r="D304" s="4">
        <f t="shared" si="200"/>
        <v>17735505.300000001</v>
      </c>
      <c r="E304" s="1">
        <f t="shared" si="202"/>
        <v>8455235</v>
      </c>
      <c r="F304" s="1">
        <f>804*2154.2</f>
        <v>1731976.7999999998</v>
      </c>
      <c r="G304" s="1">
        <f>1693*2154.2</f>
        <v>3647060.5999999996</v>
      </c>
      <c r="H304" s="1">
        <f>390*2154.2</f>
        <v>840137.99999999988</v>
      </c>
      <c r="I304" s="1">
        <f>571*2154.2</f>
        <v>1230048.2</v>
      </c>
      <c r="J304" s="1">
        <f>467*2154.2</f>
        <v>1006011.3999999999</v>
      </c>
      <c r="K304" s="1">
        <v>0</v>
      </c>
      <c r="L304" s="2">
        <v>0</v>
      </c>
      <c r="M304" s="1">
        <v>0</v>
      </c>
      <c r="N304" s="1">
        <v>1074.3499999999999</v>
      </c>
      <c r="O304" s="1">
        <f>N304*4968</f>
        <v>5337370.8</v>
      </c>
      <c r="P304" s="1">
        <v>0</v>
      </c>
      <c r="Q304" s="1">
        <f t="shared" si="203"/>
        <v>0</v>
      </c>
      <c r="R304" s="1">
        <v>1024.5</v>
      </c>
      <c r="S304" s="1">
        <f t="shared" si="204"/>
        <v>3842899.5</v>
      </c>
      <c r="T304" s="1">
        <v>0</v>
      </c>
      <c r="U304" s="1">
        <v>50000</v>
      </c>
      <c r="V304" s="1">
        <v>0</v>
      </c>
      <c r="W304" s="1">
        <v>50000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</row>
    <row r="305" spans="1:30" s="20" customFormat="1" ht="36" customHeight="1" x14ac:dyDescent="0.25">
      <c r="A305" s="2">
        <f t="shared" si="199"/>
        <v>278</v>
      </c>
      <c r="B305" s="6">
        <f t="shared" si="201"/>
        <v>278</v>
      </c>
      <c r="C305" s="19" t="s">
        <v>2133</v>
      </c>
      <c r="D305" s="4">
        <f t="shared" si="200"/>
        <v>11329342.800000001</v>
      </c>
      <c r="E305" s="1">
        <f t="shared" si="202"/>
        <v>5320114.8000000007</v>
      </c>
      <c r="F305" s="1">
        <f>804*1586.2</f>
        <v>1275304.8</v>
      </c>
      <c r="G305" s="1">
        <f>1693*1586.2</f>
        <v>2685436.6</v>
      </c>
      <c r="H305" s="1">
        <f>390*1586.2</f>
        <v>618618</v>
      </c>
      <c r="I305" s="1">
        <v>0</v>
      </c>
      <c r="J305" s="1">
        <f>467*1586.2</f>
        <v>740755.4</v>
      </c>
      <c r="K305" s="1">
        <v>0</v>
      </c>
      <c r="L305" s="2">
        <v>0</v>
      </c>
      <c r="M305" s="1">
        <v>0</v>
      </c>
      <c r="N305" s="1">
        <v>671</v>
      </c>
      <c r="O305" s="1">
        <f>N305*4968</f>
        <v>3333528</v>
      </c>
      <c r="P305" s="1">
        <v>0</v>
      </c>
      <c r="Q305" s="1">
        <f t="shared" si="203"/>
        <v>0</v>
      </c>
      <c r="R305" s="1">
        <v>700</v>
      </c>
      <c r="S305" s="1">
        <f t="shared" si="204"/>
        <v>2625700</v>
      </c>
      <c r="T305" s="1">
        <v>0</v>
      </c>
      <c r="U305" s="1">
        <v>50000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</row>
    <row r="306" spans="1:30" s="20" customFormat="1" ht="36" customHeight="1" x14ac:dyDescent="0.25">
      <c r="A306" s="2">
        <f t="shared" si="199"/>
        <v>279</v>
      </c>
      <c r="B306" s="6">
        <f t="shared" si="201"/>
        <v>279</v>
      </c>
      <c r="C306" s="19" t="s">
        <v>179</v>
      </c>
      <c r="D306" s="4">
        <f t="shared" si="200"/>
        <v>5400326.1999999993</v>
      </c>
      <c r="E306" s="1">
        <f t="shared" si="202"/>
        <v>5300326.1999999993</v>
      </c>
      <c r="F306" s="1">
        <f>804*1580.3</f>
        <v>1270561.2</v>
      </c>
      <c r="G306" s="1">
        <f>1693*1580.3</f>
        <v>2675447.9</v>
      </c>
      <c r="H306" s="1">
        <f>390*1580.3</f>
        <v>616317</v>
      </c>
      <c r="I306" s="1">
        <v>0</v>
      </c>
      <c r="J306" s="1">
        <f>467*1580.3</f>
        <v>738000.1</v>
      </c>
      <c r="K306" s="1">
        <v>0</v>
      </c>
      <c r="L306" s="2">
        <v>0</v>
      </c>
      <c r="M306" s="1">
        <v>0</v>
      </c>
      <c r="N306" s="1">
        <v>0</v>
      </c>
      <c r="O306" s="1">
        <v>0</v>
      </c>
      <c r="P306" s="1">
        <v>0</v>
      </c>
      <c r="Q306" s="1">
        <f t="shared" si="203"/>
        <v>0</v>
      </c>
      <c r="R306" s="1">
        <v>0</v>
      </c>
      <c r="S306" s="1">
        <f t="shared" si="204"/>
        <v>0</v>
      </c>
      <c r="T306" s="1">
        <v>0</v>
      </c>
      <c r="U306" s="1">
        <v>50000</v>
      </c>
      <c r="V306" s="1">
        <v>0</v>
      </c>
      <c r="W306" s="1">
        <v>50000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</row>
    <row r="307" spans="1:30" s="20" customFormat="1" ht="36" customHeight="1" x14ac:dyDescent="0.25">
      <c r="A307" s="2">
        <f t="shared" si="199"/>
        <v>280</v>
      </c>
      <c r="B307" s="6">
        <f t="shared" ref="B307" si="205">A307</f>
        <v>280</v>
      </c>
      <c r="C307" s="19" t="s">
        <v>180</v>
      </c>
      <c r="D307" s="4">
        <f t="shared" si="200"/>
        <v>5299419.4000000004</v>
      </c>
      <c r="E307" s="1">
        <f t="shared" ref="E307" si="206">SUM(F307:K307)</f>
        <v>5199419.4000000004</v>
      </c>
      <c r="F307" s="1">
        <f>804*1030.2</f>
        <v>828280.8</v>
      </c>
      <c r="G307" s="1">
        <f>1693*1030.2</f>
        <v>1744128.6</v>
      </c>
      <c r="H307" s="1">
        <f>390*1030.2</f>
        <v>401778</v>
      </c>
      <c r="I307" s="1">
        <f>1693*1030.2</f>
        <v>1744128.6</v>
      </c>
      <c r="J307" s="1">
        <f>467*1030.2</f>
        <v>481103.4</v>
      </c>
      <c r="K307" s="1">
        <v>0</v>
      </c>
      <c r="L307" s="2">
        <v>0</v>
      </c>
      <c r="M307" s="1">
        <v>0</v>
      </c>
      <c r="N307" s="1">
        <v>0</v>
      </c>
      <c r="O307" s="1">
        <v>0</v>
      </c>
      <c r="P307" s="1">
        <v>0</v>
      </c>
      <c r="Q307" s="1">
        <f t="shared" ref="Q307" si="207">P307*1400</f>
        <v>0</v>
      </c>
      <c r="R307" s="1">
        <v>0</v>
      </c>
      <c r="S307" s="1">
        <f t="shared" ref="S307" si="208">R307*3751</f>
        <v>0</v>
      </c>
      <c r="T307" s="1">
        <v>0</v>
      </c>
      <c r="U307" s="1">
        <v>50000</v>
      </c>
      <c r="V307" s="1">
        <v>0</v>
      </c>
      <c r="W307" s="1">
        <v>50000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</row>
    <row r="308" spans="1:30" s="20" customFormat="1" ht="36" customHeight="1" x14ac:dyDescent="0.25">
      <c r="A308" s="2">
        <f t="shared" si="199"/>
        <v>281</v>
      </c>
      <c r="B308" s="6">
        <f t="shared" si="201"/>
        <v>281</v>
      </c>
      <c r="C308" s="19" t="s">
        <v>2131</v>
      </c>
      <c r="D308" s="4">
        <f t="shared" si="200"/>
        <v>19963247</v>
      </c>
      <c r="E308" s="1">
        <f t="shared" si="202"/>
        <v>11589747</v>
      </c>
      <c r="F308" s="1">
        <f>804*3455.5</f>
        <v>2778222</v>
      </c>
      <c r="G308" s="1">
        <f>1693*3455.5</f>
        <v>5850161.5</v>
      </c>
      <c r="H308" s="1">
        <f>390*3455.5</f>
        <v>1347645</v>
      </c>
      <c r="I308" s="1">
        <v>0</v>
      </c>
      <c r="J308" s="1">
        <f>467*3455.5</f>
        <v>1613718.5</v>
      </c>
      <c r="K308" s="1">
        <v>0</v>
      </c>
      <c r="L308" s="2">
        <v>0</v>
      </c>
      <c r="M308" s="1">
        <v>0</v>
      </c>
      <c r="N308" s="1">
        <v>1074</v>
      </c>
      <c r="O308" s="1">
        <f>N308*7750</f>
        <v>8323500</v>
      </c>
      <c r="P308" s="1">
        <v>0</v>
      </c>
      <c r="Q308" s="1">
        <f t="shared" si="203"/>
        <v>0</v>
      </c>
      <c r="R308" s="1">
        <v>0</v>
      </c>
      <c r="S308" s="1">
        <f t="shared" si="204"/>
        <v>0</v>
      </c>
      <c r="T308" s="1">
        <v>0</v>
      </c>
      <c r="U308" s="1">
        <v>50000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</row>
    <row r="309" spans="1:30" s="20" customFormat="1" ht="36" customHeight="1" x14ac:dyDescent="0.25">
      <c r="A309" s="2">
        <f t="shared" si="199"/>
        <v>282</v>
      </c>
      <c r="B309" s="6">
        <f t="shared" ref="B309" si="209">A309</f>
        <v>282</v>
      </c>
      <c r="C309" s="19" t="s">
        <v>2132</v>
      </c>
      <c r="D309" s="4">
        <f t="shared" si="200"/>
        <v>23639925</v>
      </c>
      <c r="E309" s="1">
        <f t="shared" ref="E309" si="210">SUM(F309:K309)</f>
        <v>11425401</v>
      </c>
      <c r="F309" s="1">
        <f>804*3406.5</f>
        <v>2738826</v>
      </c>
      <c r="G309" s="1">
        <f>1693*3406.5</f>
        <v>5767204.5</v>
      </c>
      <c r="H309" s="1">
        <f>390*3406.5</f>
        <v>1328535</v>
      </c>
      <c r="I309" s="1">
        <v>0</v>
      </c>
      <c r="J309" s="1">
        <f>467*3406.5</f>
        <v>1590835.5</v>
      </c>
      <c r="K309" s="1">
        <v>0</v>
      </c>
      <c r="L309" s="2">
        <v>0</v>
      </c>
      <c r="M309" s="1">
        <v>0</v>
      </c>
      <c r="N309" s="1">
        <v>1074</v>
      </c>
      <c r="O309" s="1">
        <f>N309*7750</f>
        <v>8323500</v>
      </c>
      <c r="P309" s="1">
        <v>0</v>
      </c>
      <c r="Q309" s="1">
        <f t="shared" ref="Q309" si="211">P309*1400</f>
        <v>0</v>
      </c>
      <c r="R309" s="1">
        <v>1024</v>
      </c>
      <c r="S309" s="1">
        <f t="shared" ref="S309" si="212">R309*3751</f>
        <v>3841024</v>
      </c>
      <c r="T309" s="1">
        <v>0</v>
      </c>
      <c r="U309" s="1">
        <v>50000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</row>
    <row r="310" spans="1:30" s="20" customFormat="1" ht="36" customHeight="1" x14ac:dyDescent="0.25">
      <c r="A310" s="2">
        <f t="shared" si="199"/>
        <v>283</v>
      </c>
      <c r="B310" s="6">
        <f t="shared" si="201"/>
        <v>283</v>
      </c>
      <c r="C310" s="19" t="s">
        <v>181</v>
      </c>
      <c r="D310" s="4">
        <f t="shared" si="200"/>
        <v>13018601.799999999</v>
      </c>
      <c r="E310" s="1">
        <f t="shared" si="202"/>
        <v>12918601.799999999</v>
      </c>
      <c r="F310" s="1">
        <f>804*3851.7</f>
        <v>3096766.8</v>
      </c>
      <c r="G310" s="1">
        <f>1693*3851.7</f>
        <v>6520928.0999999996</v>
      </c>
      <c r="H310" s="1">
        <f>390*3851.7</f>
        <v>1502163</v>
      </c>
      <c r="I310" s="1">
        <v>0</v>
      </c>
      <c r="J310" s="1">
        <f>467*3851.7</f>
        <v>1798743.9</v>
      </c>
      <c r="K310" s="1">
        <v>0</v>
      </c>
      <c r="L310" s="2">
        <v>0</v>
      </c>
      <c r="M310" s="1">
        <v>0</v>
      </c>
      <c r="N310" s="1">
        <v>0</v>
      </c>
      <c r="O310" s="1">
        <v>0</v>
      </c>
      <c r="P310" s="1">
        <v>0</v>
      </c>
      <c r="Q310" s="1">
        <f t="shared" si="203"/>
        <v>0</v>
      </c>
      <c r="R310" s="1">
        <v>0</v>
      </c>
      <c r="S310" s="1">
        <f t="shared" si="204"/>
        <v>0</v>
      </c>
      <c r="T310" s="1">
        <v>0</v>
      </c>
      <c r="U310" s="1">
        <v>50000</v>
      </c>
      <c r="V310" s="1">
        <v>0</v>
      </c>
      <c r="W310" s="1">
        <v>50000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</row>
    <row r="311" spans="1:30" s="20" customFormat="1" ht="36" customHeight="1" x14ac:dyDescent="0.25">
      <c r="A311" s="2">
        <f t="shared" si="199"/>
        <v>284</v>
      </c>
      <c r="B311" s="6">
        <f>A311</f>
        <v>284</v>
      </c>
      <c r="C311" s="19" t="s">
        <v>184</v>
      </c>
      <c r="D311" s="4">
        <f t="shared" si="200"/>
        <v>8397571.1999999993</v>
      </c>
      <c r="E311" s="1">
        <f>SUM(F311:K311)</f>
        <v>5478088.1999999993</v>
      </c>
      <c r="F311" s="1">
        <f>804*1633.3</f>
        <v>1313173.2</v>
      </c>
      <c r="G311" s="1">
        <f>1693*1633.3</f>
        <v>2765176.9</v>
      </c>
      <c r="H311" s="1">
        <f>390*1633.3</f>
        <v>636987</v>
      </c>
      <c r="I311" s="1">
        <v>0</v>
      </c>
      <c r="J311" s="1">
        <f>467*1633.3</f>
        <v>762751.1</v>
      </c>
      <c r="K311" s="1">
        <v>0</v>
      </c>
      <c r="L311" s="2">
        <v>0</v>
      </c>
      <c r="M311" s="1">
        <v>0</v>
      </c>
      <c r="N311" s="1">
        <v>0</v>
      </c>
      <c r="O311" s="1">
        <v>0</v>
      </c>
      <c r="P311" s="1">
        <v>50</v>
      </c>
      <c r="Q311" s="1">
        <f>P311*1400</f>
        <v>70000</v>
      </c>
      <c r="R311" s="1">
        <v>733</v>
      </c>
      <c r="S311" s="1">
        <f>R311*3751</f>
        <v>2749483</v>
      </c>
      <c r="T311" s="1">
        <v>0</v>
      </c>
      <c r="U311" s="1">
        <v>50000</v>
      </c>
      <c r="V311" s="1">
        <v>0</v>
      </c>
      <c r="W311" s="1">
        <v>50000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</row>
    <row r="312" spans="1:30" s="20" customFormat="1" ht="36" customHeight="1" x14ac:dyDescent="0.25">
      <c r="A312" s="2">
        <f t="shared" si="199"/>
        <v>285</v>
      </c>
      <c r="B312" s="6">
        <f>A312</f>
        <v>285</v>
      </c>
      <c r="C312" s="19" t="s">
        <v>185</v>
      </c>
      <c r="D312" s="4">
        <f t="shared" si="200"/>
        <v>5455667.1999999993</v>
      </c>
      <c r="E312" s="1">
        <f>SUM(F312:K312)</f>
        <v>5355667.1999999993</v>
      </c>
      <c r="F312" s="1">
        <f>804*1596.8</f>
        <v>1283827.2</v>
      </c>
      <c r="G312" s="1">
        <f>1693*1596.8</f>
        <v>2703382.4</v>
      </c>
      <c r="H312" s="1">
        <f>390*1596.8</f>
        <v>622752</v>
      </c>
      <c r="I312" s="1">
        <v>0</v>
      </c>
      <c r="J312" s="1">
        <f>467*1596.8</f>
        <v>745705.6</v>
      </c>
      <c r="K312" s="1">
        <v>0</v>
      </c>
      <c r="L312" s="2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f>R312*3751</f>
        <v>0</v>
      </c>
      <c r="T312" s="1">
        <v>0</v>
      </c>
      <c r="U312" s="1">
        <v>50000</v>
      </c>
      <c r="V312" s="1">
        <v>0</v>
      </c>
      <c r="W312" s="1">
        <v>50000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</row>
    <row r="313" spans="1:30" s="20" customFormat="1" ht="36" customHeight="1" x14ac:dyDescent="0.25">
      <c r="A313" s="2">
        <f t="shared" si="199"/>
        <v>286</v>
      </c>
      <c r="B313" s="6">
        <f>A313</f>
        <v>286</v>
      </c>
      <c r="C313" s="19" t="s">
        <v>186</v>
      </c>
      <c r="D313" s="4">
        <f t="shared" si="200"/>
        <v>1799575</v>
      </c>
      <c r="E313" s="1">
        <f>SUM(F313:K313)</f>
        <v>1699575</v>
      </c>
      <c r="F313" s="1">
        <v>0</v>
      </c>
      <c r="G313" s="1">
        <f>1693*666.5</f>
        <v>1128384.5</v>
      </c>
      <c r="H313" s="1">
        <f>390*666.5</f>
        <v>259935</v>
      </c>
      <c r="I313" s="1">
        <v>0</v>
      </c>
      <c r="J313" s="1">
        <f>467*666.5</f>
        <v>311255.5</v>
      </c>
      <c r="K313" s="1">
        <v>0</v>
      </c>
      <c r="L313" s="2">
        <v>0</v>
      </c>
      <c r="M313" s="1">
        <v>0</v>
      </c>
      <c r="N313" s="1">
        <v>0</v>
      </c>
      <c r="O313" s="1">
        <v>0</v>
      </c>
      <c r="P313" s="1">
        <v>0</v>
      </c>
      <c r="Q313" s="1">
        <f>P313*1400</f>
        <v>0</v>
      </c>
      <c r="R313" s="1">
        <v>0</v>
      </c>
      <c r="S313" s="1">
        <f>R313*3751</f>
        <v>0</v>
      </c>
      <c r="T313" s="1">
        <v>0</v>
      </c>
      <c r="U313" s="1">
        <v>50000</v>
      </c>
      <c r="V313" s="1">
        <v>0</v>
      </c>
      <c r="W313" s="1">
        <v>50000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</row>
    <row r="314" spans="1:30" s="20" customFormat="1" ht="36" customHeight="1" x14ac:dyDescent="0.25">
      <c r="A314" s="2">
        <f t="shared" si="199"/>
        <v>287</v>
      </c>
      <c r="B314" s="6">
        <f t="shared" si="201"/>
        <v>287</v>
      </c>
      <c r="C314" s="19" t="s">
        <v>182</v>
      </c>
      <c r="D314" s="4">
        <f t="shared" si="200"/>
        <v>1368167.5</v>
      </c>
      <c r="E314" s="1">
        <f t="shared" si="202"/>
        <v>1268167.5</v>
      </c>
      <c r="F314" s="1">
        <f>804*323.1</f>
        <v>259772.40000000002</v>
      </c>
      <c r="G314" s="1">
        <f>1693*323.1</f>
        <v>547008.30000000005</v>
      </c>
      <c r="H314" s="1">
        <f>390*323.1</f>
        <v>126009.00000000001</v>
      </c>
      <c r="I314" s="1">
        <f>571*323.1</f>
        <v>184490.1</v>
      </c>
      <c r="J314" s="1">
        <f>467*323.1</f>
        <v>150887.70000000001</v>
      </c>
      <c r="K314" s="1">
        <v>0</v>
      </c>
      <c r="L314" s="2">
        <v>0</v>
      </c>
      <c r="M314" s="1">
        <v>0</v>
      </c>
      <c r="N314" s="1">
        <v>0</v>
      </c>
      <c r="O314" s="1">
        <v>0</v>
      </c>
      <c r="P314" s="1">
        <v>0</v>
      </c>
      <c r="Q314" s="1">
        <f t="shared" si="203"/>
        <v>0</v>
      </c>
      <c r="R314" s="1">
        <v>0</v>
      </c>
      <c r="S314" s="1">
        <f t="shared" si="204"/>
        <v>0</v>
      </c>
      <c r="T314" s="1">
        <v>0</v>
      </c>
      <c r="U314" s="1">
        <v>50000</v>
      </c>
      <c r="V314" s="1">
        <v>0</v>
      </c>
      <c r="W314" s="1">
        <v>50000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</row>
    <row r="315" spans="1:30" s="20" customFormat="1" ht="36" customHeight="1" x14ac:dyDescent="0.25">
      <c r="A315" s="2">
        <f t="shared" si="199"/>
        <v>288</v>
      </c>
      <c r="B315" s="6">
        <f t="shared" si="201"/>
        <v>288</v>
      </c>
      <c r="C315" s="19" t="s">
        <v>183</v>
      </c>
      <c r="D315" s="4">
        <f t="shared" si="200"/>
        <v>3295508.38</v>
      </c>
      <c r="E315" s="1">
        <f t="shared" si="202"/>
        <v>2413875</v>
      </c>
      <c r="F315" s="1">
        <f>804*615</f>
        <v>494460</v>
      </c>
      <c r="G315" s="1">
        <f>1693*615</f>
        <v>1041195</v>
      </c>
      <c r="H315" s="1">
        <f>390*615</f>
        <v>239850</v>
      </c>
      <c r="I315" s="1">
        <f>571*615</f>
        <v>351165</v>
      </c>
      <c r="J315" s="1">
        <f>467*615</f>
        <v>287205</v>
      </c>
      <c r="K315" s="1">
        <v>0</v>
      </c>
      <c r="L315" s="2">
        <v>0</v>
      </c>
      <c r="M315" s="1">
        <v>0</v>
      </c>
      <c r="N315" s="1">
        <v>0</v>
      </c>
      <c r="O315" s="1">
        <v>0</v>
      </c>
      <c r="P315" s="1">
        <v>0</v>
      </c>
      <c r="Q315" s="1">
        <f t="shared" si="203"/>
        <v>0</v>
      </c>
      <c r="R315" s="1">
        <v>208.38</v>
      </c>
      <c r="S315" s="1">
        <f t="shared" si="204"/>
        <v>781633.38</v>
      </c>
      <c r="T315" s="1">
        <v>0</v>
      </c>
      <c r="U315" s="1">
        <v>50000</v>
      </c>
      <c r="V315" s="1">
        <v>0</v>
      </c>
      <c r="W315" s="1">
        <v>50000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</row>
    <row r="316" spans="1:30" s="20" customFormat="1" ht="36" customHeight="1" x14ac:dyDescent="0.25">
      <c r="A316" s="2">
        <f t="shared" si="199"/>
        <v>289</v>
      </c>
      <c r="B316" s="6">
        <f t="shared" ref="B316" si="213">A316</f>
        <v>289</v>
      </c>
      <c r="C316" s="19" t="s">
        <v>2134</v>
      </c>
      <c r="D316" s="4">
        <f t="shared" si="200"/>
        <v>4346590.4000000004</v>
      </c>
      <c r="E316" s="1">
        <f t="shared" ref="E316" si="214">SUM(F316:K316)</f>
        <v>2031182.4000000001</v>
      </c>
      <c r="F316" s="1">
        <f>804*605.6</f>
        <v>486902.4</v>
      </c>
      <c r="G316" s="1">
        <f>1693*605.6</f>
        <v>1025280.8</v>
      </c>
      <c r="H316" s="1">
        <f>390*605.6</f>
        <v>236184</v>
      </c>
      <c r="I316" s="1">
        <v>0</v>
      </c>
      <c r="J316" s="1">
        <f>467*605.6</f>
        <v>282815.2</v>
      </c>
      <c r="K316" s="1">
        <v>0</v>
      </c>
      <c r="L316" s="2">
        <v>0</v>
      </c>
      <c r="M316" s="1">
        <v>0</v>
      </c>
      <c r="N316" s="1">
        <v>456</v>
      </c>
      <c r="O316" s="1">
        <f>N316*4968</f>
        <v>2265408</v>
      </c>
      <c r="P316" s="1">
        <v>0</v>
      </c>
      <c r="Q316" s="1">
        <f t="shared" ref="Q316" si="215">P316*1400</f>
        <v>0</v>
      </c>
      <c r="R316" s="1">
        <v>0</v>
      </c>
      <c r="S316" s="1">
        <f t="shared" ref="S316" si="216">R316*3751</f>
        <v>0</v>
      </c>
      <c r="T316" s="1">
        <v>0</v>
      </c>
      <c r="U316" s="1">
        <v>50000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</row>
    <row r="317" spans="1:30" s="20" customFormat="1" ht="36" customHeight="1" x14ac:dyDescent="0.25">
      <c r="A317" s="2">
        <f t="shared" si="199"/>
        <v>290</v>
      </c>
      <c r="B317" s="6">
        <f>A317</f>
        <v>290</v>
      </c>
      <c r="C317" s="19" t="s">
        <v>1707</v>
      </c>
      <c r="D317" s="4">
        <f t="shared" si="200"/>
        <v>7200000</v>
      </c>
      <c r="E317" s="1">
        <f>SUM(F317:K317)</f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2">
        <v>2</v>
      </c>
      <c r="M317" s="1">
        <f>L317*3500000</f>
        <v>7000000</v>
      </c>
      <c r="N317" s="1">
        <v>0</v>
      </c>
      <c r="O317" s="1">
        <f>N317*4968</f>
        <v>0</v>
      </c>
      <c r="P317" s="1">
        <v>0</v>
      </c>
      <c r="Q317" s="1">
        <f>P317*1400</f>
        <v>0</v>
      </c>
      <c r="R317" s="1">
        <v>0</v>
      </c>
      <c r="S317" s="1">
        <f>R317*3751</f>
        <v>0</v>
      </c>
      <c r="T317" s="1">
        <v>0</v>
      </c>
      <c r="U317" s="1">
        <v>200000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</row>
    <row r="318" spans="1:30" s="20" customFormat="1" ht="36" customHeight="1" x14ac:dyDescent="0.25">
      <c r="A318" s="2">
        <f t="shared" si="199"/>
        <v>291</v>
      </c>
      <c r="B318" s="6">
        <f t="shared" si="201"/>
        <v>291</v>
      </c>
      <c r="C318" s="19" t="s">
        <v>2135</v>
      </c>
      <c r="D318" s="4">
        <f t="shared" si="200"/>
        <v>17991359.399999999</v>
      </c>
      <c r="E318" s="1">
        <f t="shared" si="202"/>
        <v>9160109.3999999985</v>
      </c>
      <c r="F318" s="1">
        <f>804*2731.1</f>
        <v>2195804.4</v>
      </c>
      <c r="G318" s="1">
        <f>1693*2731.1</f>
        <v>4623752.3</v>
      </c>
      <c r="H318" s="1">
        <f>390*2731.1</f>
        <v>1065129</v>
      </c>
      <c r="I318" s="1">
        <v>0</v>
      </c>
      <c r="J318" s="1">
        <f>467*2731.1</f>
        <v>1275423.7</v>
      </c>
      <c r="K318" s="1">
        <v>0</v>
      </c>
      <c r="L318" s="2">
        <v>0</v>
      </c>
      <c r="M318" s="1">
        <v>0</v>
      </c>
      <c r="N318" s="1">
        <v>1115</v>
      </c>
      <c r="O318" s="1">
        <f>N318*7750</f>
        <v>8641250</v>
      </c>
      <c r="P318" s="1">
        <v>100</v>
      </c>
      <c r="Q318" s="1">
        <f t="shared" si="203"/>
        <v>140000</v>
      </c>
      <c r="R318" s="1">
        <v>0</v>
      </c>
      <c r="S318" s="1">
        <f t="shared" si="204"/>
        <v>0</v>
      </c>
      <c r="T318" s="1">
        <v>0</v>
      </c>
      <c r="U318" s="1">
        <v>50000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</row>
    <row r="319" spans="1:30" s="20" customFormat="1" ht="36" customHeight="1" x14ac:dyDescent="0.25">
      <c r="A319" s="2">
        <f t="shared" si="199"/>
        <v>292</v>
      </c>
      <c r="B319" s="6">
        <f>A319</f>
        <v>292</v>
      </c>
      <c r="C319" s="19" t="s">
        <v>1708</v>
      </c>
      <c r="D319" s="4">
        <f t="shared" si="200"/>
        <v>14200000</v>
      </c>
      <c r="E319" s="1">
        <f>SUM(F319:K319)</f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2">
        <v>4</v>
      </c>
      <c r="M319" s="1">
        <f>L319*3500000</f>
        <v>14000000</v>
      </c>
      <c r="N319" s="1">
        <v>0</v>
      </c>
      <c r="O319" s="1">
        <f>N319*4968</f>
        <v>0</v>
      </c>
      <c r="P319" s="1">
        <v>0</v>
      </c>
      <c r="Q319" s="1">
        <f>P319*1400</f>
        <v>0</v>
      </c>
      <c r="R319" s="1">
        <v>0</v>
      </c>
      <c r="S319" s="1">
        <f>R319*3751</f>
        <v>0</v>
      </c>
      <c r="T319" s="1">
        <v>0</v>
      </c>
      <c r="U319" s="1">
        <v>200000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</row>
    <row r="320" spans="1:30" s="20" customFormat="1" ht="36" customHeight="1" x14ac:dyDescent="0.25">
      <c r="A320" s="2">
        <f t="shared" si="199"/>
        <v>293</v>
      </c>
      <c r="B320" s="6">
        <f>A320</f>
        <v>293</v>
      </c>
      <c r="C320" s="19" t="s">
        <v>192</v>
      </c>
      <c r="D320" s="4">
        <f t="shared" si="200"/>
        <v>15487778.699999999</v>
      </c>
      <c r="E320" s="1">
        <f>SUM(F320:K320)</f>
        <v>9493832.3999999985</v>
      </c>
      <c r="F320" s="1">
        <f>804*2830.6</f>
        <v>2275802.4</v>
      </c>
      <c r="G320" s="1">
        <f>1693*2830.6</f>
        <v>4792205.8</v>
      </c>
      <c r="H320" s="1">
        <f>390*2830.6</f>
        <v>1103934</v>
      </c>
      <c r="I320" s="1">
        <v>0</v>
      </c>
      <c r="J320" s="1">
        <f>467*2830.6</f>
        <v>1321890.2</v>
      </c>
      <c r="K320" s="1">
        <v>0</v>
      </c>
      <c r="L320" s="2">
        <v>0</v>
      </c>
      <c r="M320" s="1">
        <v>0</v>
      </c>
      <c r="N320" s="1">
        <v>0</v>
      </c>
      <c r="O320" s="1">
        <v>0</v>
      </c>
      <c r="P320" s="1">
        <v>0</v>
      </c>
      <c r="Q320" s="1">
        <f>P320*1400</f>
        <v>0</v>
      </c>
      <c r="R320" s="1">
        <v>1571.3</v>
      </c>
      <c r="S320" s="1">
        <f>R320*3751</f>
        <v>5893946.2999999998</v>
      </c>
      <c r="T320" s="1">
        <v>0</v>
      </c>
      <c r="U320" s="1">
        <v>50000</v>
      </c>
      <c r="V320" s="1">
        <v>0</v>
      </c>
      <c r="W320" s="1">
        <v>50000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</row>
    <row r="321" spans="1:30" s="20" customFormat="1" ht="36" customHeight="1" x14ac:dyDescent="0.25">
      <c r="A321" s="2">
        <f t="shared" si="199"/>
        <v>294</v>
      </c>
      <c r="B321" s="6">
        <f t="shared" si="201"/>
        <v>294</v>
      </c>
      <c r="C321" s="19" t="s">
        <v>189</v>
      </c>
      <c r="D321" s="4">
        <f t="shared" ref="D321:D352" si="217">E321+M321+O321+Q321+S321+T321+U321+V321+X321+W321+Z321+AA321+AB321+AC321+AD321</f>
        <v>10905369.700000001</v>
      </c>
      <c r="E321" s="1">
        <f t="shared" si="202"/>
        <v>5818183.8000000007</v>
      </c>
      <c r="F321" s="1">
        <f>804*1734.7</f>
        <v>1394698.8</v>
      </c>
      <c r="G321" s="1">
        <f>1693*1734.7</f>
        <v>2936847.1</v>
      </c>
      <c r="H321" s="1">
        <f>390*1734.7</f>
        <v>676533</v>
      </c>
      <c r="I321" s="1">
        <v>0</v>
      </c>
      <c r="J321" s="1">
        <f>467*1734.7</f>
        <v>810104.9</v>
      </c>
      <c r="K321" s="1">
        <v>0</v>
      </c>
      <c r="L321" s="2">
        <v>0</v>
      </c>
      <c r="M321" s="1">
        <v>0</v>
      </c>
      <c r="N321" s="1">
        <v>0</v>
      </c>
      <c r="O321" s="1">
        <v>0</v>
      </c>
      <c r="P321" s="1">
        <v>50</v>
      </c>
      <c r="Q321" s="1">
        <f t="shared" si="203"/>
        <v>70000</v>
      </c>
      <c r="R321" s="1">
        <v>1310.9</v>
      </c>
      <c r="S321" s="1">
        <f t="shared" si="204"/>
        <v>4917185.9000000004</v>
      </c>
      <c r="T321" s="1">
        <v>0</v>
      </c>
      <c r="U321" s="1">
        <v>50000</v>
      </c>
      <c r="V321" s="1">
        <v>0</v>
      </c>
      <c r="W321" s="1">
        <v>50000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</row>
    <row r="322" spans="1:30" s="20" customFormat="1" ht="36" customHeight="1" x14ac:dyDescent="0.25">
      <c r="A322" s="2">
        <f t="shared" si="199"/>
        <v>295</v>
      </c>
      <c r="B322" s="6">
        <f t="shared" si="201"/>
        <v>295</v>
      </c>
      <c r="C322" s="19" t="s">
        <v>190</v>
      </c>
      <c r="D322" s="4">
        <f t="shared" si="217"/>
        <v>13752600.100000001</v>
      </c>
      <c r="E322" s="1">
        <f t="shared" si="202"/>
        <v>7990234.2000000011</v>
      </c>
      <c r="F322" s="1">
        <f>804*2382.3</f>
        <v>1915369.2000000002</v>
      </c>
      <c r="G322" s="1">
        <f>1693*2382.3</f>
        <v>4033233.9000000004</v>
      </c>
      <c r="H322" s="1">
        <f>390*2382.3</f>
        <v>929097.00000000012</v>
      </c>
      <c r="I322" s="1">
        <v>0</v>
      </c>
      <c r="J322" s="1">
        <f>467*2382.3</f>
        <v>1112534.1000000001</v>
      </c>
      <c r="K322" s="1">
        <v>0</v>
      </c>
      <c r="L322" s="2">
        <v>0</v>
      </c>
      <c r="M322" s="1">
        <v>0</v>
      </c>
      <c r="N322" s="1">
        <v>0</v>
      </c>
      <c r="O322" s="1">
        <v>0</v>
      </c>
      <c r="P322" s="1">
        <v>50</v>
      </c>
      <c r="Q322" s="1">
        <f t="shared" si="203"/>
        <v>70000</v>
      </c>
      <c r="R322" s="1">
        <v>1490.9</v>
      </c>
      <c r="S322" s="1">
        <f t="shared" si="204"/>
        <v>5592365.9000000004</v>
      </c>
      <c r="T322" s="1">
        <v>0</v>
      </c>
      <c r="U322" s="1">
        <v>50000</v>
      </c>
      <c r="V322" s="1">
        <v>0</v>
      </c>
      <c r="W322" s="1">
        <v>50000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</row>
    <row r="323" spans="1:30" s="20" customFormat="1" ht="36" customHeight="1" x14ac:dyDescent="0.25">
      <c r="A323" s="2">
        <f t="shared" si="199"/>
        <v>296</v>
      </c>
      <c r="B323" s="6">
        <f t="shared" si="201"/>
        <v>296</v>
      </c>
      <c r="C323" s="19" t="s">
        <v>191</v>
      </c>
      <c r="D323" s="4">
        <f t="shared" si="217"/>
        <v>8378637.5</v>
      </c>
      <c r="E323" s="1">
        <f t="shared" si="202"/>
        <v>4733942.5</v>
      </c>
      <c r="F323" s="1">
        <f>804*1206.1</f>
        <v>969704.39999999991</v>
      </c>
      <c r="G323" s="1">
        <f>1693*1206.1</f>
        <v>2041927.2999999998</v>
      </c>
      <c r="H323" s="1">
        <f>390*1206.1</f>
        <v>470378.99999999994</v>
      </c>
      <c r="I323" s="1">
        <f>571*1206.1</f>
        <v>688683.1</v>
      </c>
      <c r="J323" s="1">
        <f>467*1206.1</f>
        <v>563248.69999999995</v>
      </c>
      <c r="K323" s="1">
        <v>0</v>
      </c>
      <c r="L323" s="2">
        <v>0</v>
      </c>
      <c r="M323" s="1">
        <v>0</v>
      </c>
      <c r="N323" s="1">
        <v>0</v>
      </c>
      <c r="O323" s="1">
        <v>0</v>
      </c>
      <c r="P323" s="1">
        <v>0</v>
      </c>
      <c r="Q323" s="1">
        <f t="shared" si="203"/>
        <v>0</v>
      </c>
      <c r="R323" s="1">
        <v>945</v>
      </c>
      <c r="S323" s="1">
        <f t="shared" si="204"/>
        <v>3544695</v>
      </c>
      <c r="T323" s="1">
        <v>0</v>
      </c>
      <c r="U323" s="1">
        <v>50000</v>
      </c>
      <c r="V323" s="1">
        <v>0</v>
      </c>
      <c r="W323" s="1">
        <v>50000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</row>
    <row r="324" spans="1:30" s="20" customFormat="1" ht="36" customHeight="1" x14ac:dyDescent="0.25">
      <c r="A324" s="2">
        <f t="shared" si="199"/>
        <v>297</v>
      </c>
      <c r="B324" s="6">
        <f t="shared" si="201"/>
        <v>297</v>
      </c>
      <c r="C324" s="19" t="s">
        <v>193</v>
      </c>
      <c r="D324" s="4">
        <f t="shared" si="217"/>
        <v>33349694.800000001</v>
      </c>
      <c r="E324" s="1">
        <f t="shared" si="202"/>
        <v>14433939</v>
      </c>
      <c r="F324" s="1">
        <f>804*4303.5</f>
        <v>3460014</v>
      </c>
      <c r="G324" s="1">
        <f>1693*4303.5</f>
        <v>7285825.5</v>
      </c>
      <c r="H324" s="1">
        <f>390*4303.5</f>
        <v>1678365</v>
      </c>
      <c r="I324" s="1">
        <v>0</v>
      </c>
      <c r="J324" s="1">
        <f>467*4303.5</f>
        <v>2009734.5</v>
      </c>
      <c r="K324" s="1">
        <v>0</v>
      </c>
      <c r="L324" s="2">
        <v>0</v>
      </c>
      <c r="M324" s="1">
        <v>0</v>
      </c>
      <c r="N324" s="1">
        <v>1641.6</v>
      </c>
      <c r="O324" s="1">
        <f>N324*7750</f>
        <v>12722400</v>
      </c>
      <c r="P324" s="1">
        <v>50</v>
      </c>
      <c r="Q324" s="1">
        <f t="shared" si="203"/>
        <v>70000</v>
      </c>
      <c r="R324" s="1">
        <v>1605.8</v>
      </c>
      <c r="S324" s="1">
        <f t="shared" si="204"/>
        <v>6023355.7999999998</v>
      </c>
      <c r="T324" s="1">
        <v>0</v>
      </c>
      <c r="U324" s="1">
        <v>50000</v>
      </c>
      <c r="V324" s="1">
        <v>0</v>
      </c>
      <c r="W324" s="1">
        <v>50000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</row>
    <row r="325" spans="1:30" s="20" customFormat="1" ht="36" customHeight="1" x14ac:dyDescent="0.25">
      <c r="A325" s="2">
        <f t="shared" si="199"/>
        <v>298</v>
      </c>
      <c r="B325" s="6">
        <f t="shared" si="201"/>
        <v>298</v>
      </c>
      <c r="C325" s="19" t="s">
        <v>194</v>
      </c>
      <c r="D325" s="4">
        <f t="shared" si="217"/>
        <v>3103073</v>
      </c>
      <c r="E325" s="1">
        <f t="shared" si="202"/>
        <v>2933073</v>
      </c>
      <c r="F325" s="1">
        <f>804*874.5</f>
        <v>703098</v>
      </c>
      <c r="G325" s="1">
        <f>1693*874.5</f>
        <v>1480528.5</v>
      </c>
      <c r="H325" s="1">
        <f>390*874.5</f>
        <v>341055</v>
      </c>
      <c r="I325" s="1">
        <v>0</v>
      </c>
      <c r="J325" s="1">
        <f>467*874.5</f>
        <v>408391.5</v>
      </c>
      <c r="K325" s="1">
        <v>0</v>
      </c>
      <c r="L325" s="2">
        <v>0</v>
      </c>
      <c r="M325" s="1">
        <v>0</v>
      </c>
      <c r="N325" s="1">
        <v>0</v>
      </c>
      <c r="O325" s="1">
        <v>0</v>
      </c>
      <c r="P325" s="1">
        <v>50</v>
      </c>
      <c r="Q325" s="1">
        <f t="shared" si="203"/>
        <v>70000</v>
      </c>
      <c r="R325" s="1">
        <v>0</v>
      </c>
      <c r="S325" s="1">
        <f t="shared" si="204"/>
        <v>0</v>
      </c>
      <c r="T325" s="1">
        <v>0</v>
      </c>
      <c r="U325" s="1">
        <v>50000</v>
      </c>
      <c r="V325" s="1">
        <v>0</v>
      </c>
      <c r="W325" s="1">
        <v>50000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</row>
    <row r="326" spans="1:30" s="20" customFormat="1" ht="36" customHeight="1" x14ac:dyDescent="0.25">
      <c r="A326" s="2">
        <f t="shared" si="199"/>
        <v>299</v>
      </c>
      <c r="B326" s="6">
        <f t="shared" si="201"/>
        <v>299</v>
      </c>
      <c r="C326" s="19" t="s">
        <v>1709</v>
      </c>
      <c r="D326" s="4">
        <f t="shared" si="217"/>
        <v>10700000</v>
      </c>
      <c r="E326" s="1">
        <f>SUM(F326:K326)</f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2">
        <v>3</v>
      </c>
      <c r="M326" s="1">
        <f>L326*3500000</f>
        <v>10500000</v>
      </c>
      <c r="N326" s="1">
        <v>0</v>
      </c>
      <c r="O326" s="1">
        <f>N326*4968</f>
        <v>0</v>
      </c>
      <c r="P326" s="1">
        <v>0</v>
      </c>
      <c r="Q326" s="1">
        <f>P326*1400</f>
        <v>0</v>
      </c>
      <c r="R326" s="1">
        <v>0</v>
      </c>
      <c r="S326" s="1">
        <f>R326*3751</f>
        <v>0</v>
      </c>
      <c r="T326" s="1">
        <v>0</v>
      </c>
      <c r="U326" s="1">
        <v>200000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</row>
    <row r="327" spans="1:30" s="20" customFormat="1" ht="36" customHeight="1" x14ac:dyDescent="0.25">
      <c r="A327" s="2">
        <f t="shared" si="199"/>
        <v>300</v>
      </c>
      <c r="B327" s="6">
        <f t="shared" ref="B327" si="218">A327</f>
        <v>300</v>
      </c>
      <c r="C327" s="19" t="s">
        <v>2136</v>
      </c>
      <c r="D327" s="4">
        <f t="shared" si="217"/>
        <v>4302288</v>
      </c>
      <c r="E327" s="1">
        <f t="shared" ref="E327" si="219">SUM(F327:K327)</f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2">
        <v>0</v>
      </c>
      <c r="M327" s="1">
        <v>0</v>
      </c>
      <c r="N327" s="1">
        <v>866</v>
      </c>
      <c r="O327" s="1">
        <f>N327*4968</f>
        <v>4302288</v>
      </c>
      <c r="P327" s="1">
        <v>0</v>
      </c>
      <c r="Q327" s="1">
        <f t="shared" ref="Q327" si="220">P327*1400</f>
        <v>0</v>
      </c>
      <c r="R327" s="1">
        <v>0</v>
      </c>
      <c r="S327" s="1">
        <f t="shared" ref="S327" si="221">R327*3751</f>
        <v>0</v>
      </c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</row>
    <row r="328" spans="1:30" s="20" customFormat="1" ht="36" customHeight="1" x14ac:dyDescent="0.25">
      <c r="A328" s="2">
        <f t="shared" si="199"/>
        <v>301</v>
      </c>
      <c r="B328" s="6">
        <f>A328</f>
        <v>301</v>
      </c>
      <c r="C328" s="19" t="s">
        <v>200</v>
      </c>
      <c r="D328" s="4">
        <f t="shared" si="217"/>
        <v>16061605.5</v>
      </c>
      <c r="E328" s="1">
        <f>SUM(F328:K328)</f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2">
        <v>0</v>
      </c>
      <c r="M328" s="1">
        <v>0</v>
      </c>
      <c r="N328" s="1">
        <v>1101</v>
      </c>
      <c r="O328" s="1">
        <f>N328*7750</f>
        <v>8532750</v>
      </c>
      <c r="P328" s="1">
        <v>0</v>
      </c>
      <c r="Q328" s="1">
        <f>P328*1400</f>
        <v>0</v>
      </c>
      <c r="R328" s="1">
        <v>1980.5</v>
      </c>
      <c r="S328" s="1">
        <f>R328*3751</f>
        <v>7428855.5</v>
      </c>
      <c r="T328" s="1">
        <v>0</v>
      </c>
      <c r="U328" s="1">
        <v>50000</v>
      </c>
      <c r="V328" s="1">
        <v>0</v>
      </c>
      <c r="W328" s="1">
        <v>50000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</row>
    <row r="329" spans="1:30" s="20" customFormat="1" ht="36" customHeight="1" x14ac:dyDescent="0.25">
      <c r="A329" s="2">
        <f t="shared" si="199"/>
        <v>302</v>
      </c>
      <c r="B329" s="6">
        <f t="shared" si="201"/>
        <v>302</v>
      </c>
      <c r="C329" s="19" t="s">
        <v>198</v>
      </c>
      <c r="D329" s="4">
        <f t="shared" si="217"/>
        <v>5168216.08</v>
      </c>
      <c r="E329" s="1">
        <f t="shared" si="202"/>
        <v>2640268.8000000003</v>
      </c>
      <c r="F329" s="1">
        <f>804*787.2</f>
        <v>632908.80000000005</v>
      </c>
      <c r="G329" s="1">
        <f>1693*787.2</f>
        <v>1332729.6000000001</v>
      </c>
      <c r="H329" s="1">
        <f>390*787.2</f>
        <v>307008</v>
      </c>
      <c r="I329" s="1">
        <v>0</v>
      </c>
      <c r="J329" s="1">
        <f>467*787.2</f>
        <v>367622.40000000002</v>
      </c>
      <c r="K329" s="1">
        <v>0</v>
      </c>
      <c r="L329" s="2">
        <v>0</v>
      </c>
      <c r="M329" s="1">
        <v>0</v>
      </c>
      <c r="N329" s="1">
        <v>0</v>
      </c>
      <c r="O329" s="1">
        <v>0</v>
      </c>
      <c r="P329" s="1">
        <v>0</v>
      </c>
      <c r="Q329" s="1">
        <f t="shared" si="203"/>
        <v>0</v>
      </c>
      <c r="R329" s="1">
        <v>647.28</v>
      </c>
      <c r="S329" s="1">
        <f t="shared" si="204"/>
        <v>2427947.2799999998</v>
      </c>
      <c r="T329" s="1">
        <v>0</v>
      </c>
      <c r="U329" s="1">
        <v>50000</v>
      </c>
      <c r="V329" s="1">
        <v>0</v>
      </c>
      <c r="W329" s="1">
        <v>50000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</row>
    <row r="330" spans="1:30" s="20" customFormat="1" ht="36" customHeight="1" x14ac:dyDescent="0.25">
      <c r="A330" s="2">
        <f t="shared" si="199"/>
        <v>303</v>
      </c>
      <c r="B330" s="6">
        <f t="shared" si="201"/>
        <v>303</v>
      </c>
      <c r="C330" s="19" t="s">
        <v>203</v>
      </c>
      <c r="D330" s="4">
        <f t="shared" si="217"/>
        <v>20501592</v>
      </c>
      <c r="E330" s="1">
        <f t="shared" si="202"/>
        <v>8626488</v>
      </c>
      <c r="F330" s="1">
        <f>804*2572</f>
        <v>2067888</v>
      </c>
      <c r="G330" s="1">
        <f>1693*2572</f>
        <v>4354396</v>
      </c>
      <c r="H330" s="1">
        <f>390*2572</f>
        <v>1003080</v>
      </c>
      <c r="I330" s="1">
        <v>0</v>
      </c>
      <c r="J330" s="1">
        <f>467*2572</f>
        <v>1201124</v>
      </c>
      <c r="K330" s="1">
        <v>0</v>
      </c>
      <c r="L330" s="2">
        <v>0</v>
      </c>
      <c r="M330" s="1">
        <v>0</v>
      </c>
      <c r="N330" s="1">
        <v>855</v>
      </c>
      <c r="O330" s="1">
        <f>N330*7750</f>
        <v>6626250</v>
      </c>
      <c r="P330" s="1">
        <v>50</v>
      </c>
      <c r="Q330" s="1">
        <f t="shared" si="203"/>
        <v>70000</v>
      </c>
      <c r="R330" s="1">
        <v>1354</v>
      </c>
      <c r="S330" s="1">
        <f t="shared" si="204"/>
        <v>5078854</v>
      </c>
      <c r="T330" s="1">
        <v>0</v>
      </c>
      <c r="U330" s="1">
        <v>50000</v>
      </c>
      <c r="V330" s="1">
        <v>0</v>
      </c>
      <c r="W330" s="1">
        <v>50000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</row>
    <row r="331" spans="1:30" s="20" customFormat="1" ht="36" customHeight="1" x14ac:dyDescent="0.25">
      <c r="A331" s="2">
        <f t="shared" si="199"/>
        <v>304</v>
      </c>
      <c r="B331" s="6">
        <f>A331</f>
        <v>304</v>
      </c>
      <c r="C331" s="19" t="s">
        <v>205</v>
      </c>
      <c r="D331" s="4">
        <f t="shared" si="217"/>
        <v>26390337.799999997</v>
      </c>
      <c r="E331" s="1">
        <f>SUM(F331:K331)</f>
        <v>11115854.399999999</v>
      </c>
      <c r="F331" s="1">
        <f>894*3227.6</f>
        <v>2885474.4</v>
      </c>
      <c r="G331" s="1">
        <f>1693*3227.6</f>
        <v>5464326.7999999998</v>
      </c>
      <c r="H331" s="1">
        <f>390*3227.6</f>
        <v>1258764</v>
      </c>
      <c r="I331" s="1">
        <v>0</v>
      </c>
      <c r="J331" s="1">
        <f>467*3227.6</f>
        <v>1507289.2</v>
      </c>
      <c r="K331" s="1">
        <v>0</v>
      </c>
      <c r="L331" s="2">
        <v>0</v>
      </c>
      <c r="M331" s="1">
        <v>0</v>
      </c>
      <c r="N331" s="1">
        <v>1110</v>
      </c>
      <c r="O331" s="1">
        <f>N331*7750</f>
        <v>8602500</v>
      </c>
      <c r="P331" s="1">
        <v>50</v>
      </c>
      <c r="Q331" s="1">
        <f>P331*1400</f>
        <v>70000</v>
      </c>
      <c r="R331" s="1">
        <v>1733.4</v>
      </c>
      <c r="S331" s="1">
        <f>R331*3751</f>
        <v>6501983.4000000004</v>
      </c>
      <c r="T331" s="1">
        <v>0</v>
      </c>
      <c r="U331" s="1">
        <v>50000</v>
      </c>
      <c r="V331" s="1">
        <v>0</v>
      </c>
      <c r="W331" s="1">
        <v>50000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</row>
    <row r="332" spans="1:30" s="20" customFormat="1" ht="36" customHeight="1" x14ac:dyDescent="0.25">
      <c r="A332" s="2">
        <f t="shared" si="199"/>
        <v>305</v>
      </c>
      <c r="B332" s="6">
        <f t="shared" si="201"/>
        <v>305</v>
      </c>
      <c r="C332" s="19" t="s">
        <v>2140</v>
      </c>
      <c r="D332" s="4">
        <f t="shared" si="217"/>
        <v>6850872</v>
      </c>
      <c r="E332" s="1">
        <f t="shared" si="202"/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2">
        <v>0</v>
      </c>
      <c r="M332" s="1">
        <v>0</v>
      </c>
      <c r="N332" s="1">
        <v>1379</v>
      </c>
      <c r="O332" s="1">
        <f>N332*4968</f>
        <v>6850872</v>
      </c>
      <c r="P332" s="1">
        <v>0</v>
      </c>
      <c r="Q332" s="1">
        <f t="shared" si="203"/>
        <v>0</v>
      </c>
      <c r="R332" s="1">
        <v>0</v>
      </c>
      <c r="S332" s="1">
        <f t="shared" si="204"/>
        <v>0</v>
      </c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</row>
    <row r="333" spans="1:30" s="20" customFormat="1" ht="36" customHeight="1" x14ac:dyDescent="0.25">
      <c r="A333" s="2">
        <f t="shared" si="199"/>
        <v>306</v>
      </c>
      <c r="B333" s="6">
        <f>A333</f>
        <v>306</v>
      </c>
      <c r="C333" s="19" t="s">
        <v>1710</v>
      </c>
      <c r="D333" s="4">
        <f t="shared" si="217"/>
        <v>7200000</v>
      </c>
      <c r="E333" s="1">
        <f>SUM(F333:K333)</f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2">
        <v>2</v>
      </c>
      <c r="M333" s="1">
        <f>L333*3500000</f>
        <v>7000000</v>
      </c>
      <c r="N333" s="1">
        <v>0</v>
      </c>
      <c r="O333" s="1">
        <f>N333*4968</f>
        <v>0</v>
      </c>
      <c r="P333" s="1">
        <v>0</v>
      </c>
      <c r="Q333" s="1">
        <f>P333*1400</f>
        <v>0</v>
      </c>
      <c r="R333" s="1">
        <v>0</v>
      </c>
      <c r="S333" s="1">
        <f>R333*3751</f>
        <v>0</v>
      </c>
      <c r="T333" s="1">
        <v>0</v>
      </c>
      <c r="U333" s="1">
        <v>200000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</row>
    <row r="334" spans="1:30" s="20" customFormat="1" ht="36" customHeight="1" x14ac:dyDescent="0.25">
      <c r="A334" s="2">
        <f t="shared" si="199"/>
        <v>307</v>
      </c>
      <c r="B334" s="6">
        <f t="shared" si="201"/>
        <v>307</v>
      </c>
      <c r="C334" s="19" t="s">
        <v>206</v>
      </c>
      <c r="D334" s="4">
        <f t="shared" si="217"/>
        <v>381524.5</v>
      </c>
      <c r="E334" s="1">
        <f t="shared" si="202"/>
        <v>281524.5</v>
      </c>
      <c r="F334" s="1">
        <v>0</v>
      </c>
      <c r="G334" s="1">
        <v>0</v>
      </c>
      <c r="H334" s="1">
        <f>390*328.5</f>
        <v>128115</v>
      </c>
      <c r="I334" s="1">
        <v>0</v>
      </c>
      <c r="J334" s="1">
        <f>467*328.5</f>
        <v>153409.5</v>
      </c>
      <c r="K334" s="1">
        <v>0</v>
      </c>
      <c r="L334" s="2">
        <v>0</v>
      </c>
      <c r="M334" s="1">
        <v>0</v>
      </c>
      <c r="N334" s="1">
        <v>0</v>
      </c>
      <c r="O334" s="1">
        <v>0</v>
      </c>
      <c r="P334" s="1">
        <v>0</v>
      </c>
      <c r="Q334" s="1">
        <f t="shared" si="203"/>
        <v>0</v>
      </c>
      <c r="R334" s="1">
        <v>0</v>
      </c>
      <c r="S334" s="1">
        <f t="shared" si="204"/>
        <v>0</v>
      </c>
      <c r="T334" s="1">
        <v>0</v>
      </c>
      <c r="U334" s="1">
        <v>50000</v>
      </c>
      <c r="V334" s="1">
        <v>0</v>
      </c>
      <c r="W334" s="1">
        <v>50000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</row>
    <row r="335" spans="1:30" s="20" customFormat="1" ht="36" customHeight="1" x14ac:dyDescent="0.25">
      <c r="A335" s="2">
        <f t="shared" si="199"/>
        <v>308</v>
      </c>
      <c r="B335" s="6">
        <f t="shared" si="201"/>
        <v>308</v>
      </c>
      <c r="C335" s="19" t="s">
        <v>207</v>
      </c>
      <c r="D335" s="4">
        <f t="shared" si="217"/>
        <v>5541627.2000000002</v>
      </c>
      <c r="E335" s="1">
        <f t="shared" si="202"/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2">
        <v>0</v>
      </c>
      <c r="M335" s="1">
        <v>0</v>
      </c>
      <c r="N335" s="1">
        <v>1105.4000000000001</v>
      </c>
      <c r="O335" s="1">
        <f>N335*4968</f>
        <v>5491627.2000000002</v>
      </c>
      <c r="P335" s="1">
        <v>0</v>
      </c>
      <c r="Q335" s="1">
        <f t="shared" si="203"/>
        <v>0</v>
      </c>
      <c r="R335" s="1">
        <v>0</v>
      </c>
      <c r="S335" s="1">
        <f t="shared" si="204"/>
        <v>0</v>
      </c>
      <c r="T335" s="1">
        <v>0</v>
      </c>
      <c r="U335" s="1">
        <v>0</v>
      </c>
      <c r="V335" s="1">
        <v>0</v>
      </c>
      <c r="W335" s="1">
        <v>50000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</row>
    <row r="336" spans="1:30" s="20" customFormat="1" ht="36" customHeight="1" x14ac:dyDescent="0.25">
      <c r="A336" s="2">
        <f t="shared" si="199"/>
        <v>309</v>
      </c>
      <c r="B336" s="6">
        <f t="shared" ref="B336:B337" si="222">A336</f>
        <v>309</v>
      </c>
      <c r="C336" s="19" t="s">
        <v>2141</v>
      </c>
      <c r="D336" s="4">
        <f t="shared" si="217"/>
        <v>2875250</v>
      </c>
      <c r="E336" s="1">
        <f t="shared" ref="E336:E337" si="223">SUM(F336:K336)</f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2">
        <v>0</v>
      </c>
      <c r="M336" s="1">
        <v>0</v>
      </c>
      <c r="N336" s="1">
        <v>371</v>
      </c>
      <c r="O336" s="1">
        <f>N336*7750</f>
        <v>2875250</v>
      </c>
      <c r="P336" s="1">
        <v>0</v>
      </c>
      <c r="Q336" s="1">
        <f t="shared" ref="Q336:Q337" si="224">P336*1400</f>
        <v>0</v>
      </c>
      <c r="R336" s="1">
        <v>0</v>
      </c>
      <c r="S336" s="1">
        <f t="shared" ref="S336:S337" si="225">R336*3751</f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</row>
    <row r="337" spans="1:30" s="20" customFormat="1" ht="36" customHeight="1" x14ac:dyDescent="0.25">
      <c r="A337" s="2">
        <f t="shared" si="199"/>
        <v>310</v>
      </c>
      <c r="B337" s="6">
        <f t="shared" si="222"/>
        <v>310</v>
      </c>
      <c r="C337" s="19" t="s">
        <v>2143</v>
      </c>
      <c r="D337" s="4">
        <f t="shared" si="217"/>
        <v>2410250</v>
      </c>
      <c r="E337" s="1">
        <f t="shared" si="223"/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2">
        <v>0</v>
      </c>
      <c r="M337" s="1">
        <v>0</v>
      </c>
      <c r="N337" s="1">
        <v>311</v>
      </c>
      <c r="O337" s="1">
        <f t="shared" ref="O337:O338" si="226">N337*7750</f>
        <v>2410250</v>
      </c>
      <c r="P337" s="1">
        <v>0</v>
      </c>
      <c r="Q337" s="1">
        <f t="shared" si="224"/>
        <v>0</v>
      </c>
      <c r="R337" s="1">
        <v>0</v>
      </c>
      <c r="S337" s="1">
        <f t="shared" si="225"/>
        <v>0</v>
      </c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</row>
    <row r="338" spans="1:30" s="20" customFormat="1" ht="36" customHeight="1" x14ac:dyDescent="0.25">
      <c r="A338" s="2">
        <f t="shared" si="199"/>
        <v>311</v>
      </c>
      <c r="B338" s="6">
        <f t="shared" ref="B338" si="227">A338</f>
        <v>311</v>
      </c>
      <c r="C338" s="19" t="s">
        <v>2144</v>
      </c>
      <c r="D338" s="4">
        <f t="shared" si="217"/>
        <v>2852000</v>
      </c>
      <c r="E338" s="1">
        <f t="shared" ref="E338" si="228">SUM(F338:K338)</f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2">
        <v>0</v>
      </c>
      <c r="M338" s="1">
        <v>0</v>
      </c>
      <c r="N338" s="1">
        <v>368</v>
      </c>
      <c r="O338" s="1">
        <f t="shared" si="226"/>
        <v>2852000</v>
      </c>
      <c r="P338" s="1">
        <v>0</v>
      </c>
      <c r="Q338" s="1">
        <f t="shared" ref="Q338" si="229">P338*1400</f>
        <v>0</v>
      </c>
      <c r="R338" s="1">
        <v>0</v>
      </c>
      <c r="S338" s="1">
        <f t="shared" ref="S338" si="230">R338*3751</f>
        <v>0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</row>
    <row r="339" spans="1:30" s="20" customFormat="1" ht="36" customHeight="1" x14ac:dyDescent="0.25">
      <c r="A339" s="2">
        <f t="shared" si="199"/>
        <v>312</v>
      </c>
      <c r="B339" s="6">
        <f t="shared" si="201"/>
        <v>312</v>
      </c>
      <c r="C339" s="19" t="s">
        <v>208</v>
      </c>
      <c r="D339" s="4">
        <f t="shared" si="217"/>
        <v>120000</v>
      </c>
      <c r="E339" s="1">
        <f t="shared" si="202"/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2">
        <v>0</v>
      </c>
      <c r="M339" s="1">
        <v>0</v>
      </c>
      <c r="N339" s="1">
        <v>0</v>
      </c>
      <c r="O339" s="1">
        <v>0</v>
      </c>
      <c r="P339" s="1">
        <v>50</v>
      </c>
      <c r="Q339" s="1">
        <f t="shared" si="203"/>
        <v>70000</v>
      </c>
      <c r="R339" s="1">
        <v>0</v>
      </c>
      <c r="S339" s="1">
        <f t="shared" si="204"/>
        <v>0</v>
      </c>
      <c r="T339" s="1">
        <v>0</v>
      </c>
      <c r="U339" s="1">
        <v>0</v>
      </c>
      <c r="V339" s="1">
        <v>0</v>
      </c>
      <c r="W339" s="1">
        <v>50000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</row>
    <row r="340" spans="1:30" s="20" customFormat="1" ht="36" customHeight="1" x14ac:dyDescent="0.25">
      <c r="A340" s="2">
        <f t="shared" si="199"/>
        <v>313</v>
      </c>
      <c r="B340" s="6">
        <f t="shared" si="201"/>
        <v>313</v>
      </c>
      <c r="C340" s="19" t="s">
        <v>2145</v>
      </c>
      <c r="D340" s="4">
        <f t="shared" si="217"/>
        <v>4518250</v>
      </c>
      <c r="E340" s="1">
        <f t="shared" si="202"/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2">
        <v>0</v>
      </c>
      <c r="M340" s="1">
        <v>0</v>
      </c>
      <c r="N340" s="1">
        <v>583</v>
      </c>
      <c r="O340" s="1">
        <f>N340*7750</f>
        <v>4518250</v>
      </c>
      <c r="P340" s="1">
        <v>0</v>
      </c>
      <c r="Q340" s="1">
        <f t="shared" si="203"/>
        <v>0</v>
      </c>
      <c r="R340" s="1">
        <v>0</v>
      </c>
      <c r="S340" s="1">
        <f t="shared" si="204"/>
        <v>0</v>
      </c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</row>
    <row r="341" spans="1:30" s="20" customFormat="1" ht="36" customHeight="1" x14ac:dyDescent="0.25">
      <c r="A341" s="2">
        <f t="shared" si="199"/>
        <v>314</v>
      </c>
      <c r="B341" s="6">
        <f t="shared" si="201"/>
        <v>314</v>
      </c>
      <c r="C341" s="19" t="s">
        <v>210</v>
      </c>
      <c r="D341" s="4">
        <f t="shared" si="217"/>
        <v>4625687.9000000004</v>
      </c>
      <c r="E341" s="1">
        <f t="shared" si="202"/>
        <v>950756.39999999991</v>
      </c>
      <c r="F341" s="1">
        <f>804*572.4</f>
        <v>460209.6</v>
      </c>
      <c r="G341" s="1">
        <v>0</v>
      </c>
      <c r="H341" s="1">
        <f>390*572.4</f>
        <v>223236</v>
      </c>
      <c r="I341" s="1">
        <v>0</v>
      </c>
      <c r="J341" s="1">
        <f>467*572.4</f>
        <v>267310.8</v>
      </c>
      <c r="K341" s="1">
        <v>0</v>
      </c>
      <c r="L341" s="2">
        <v>0</v>
      </c>
      <c r="M341" s="1">
        <v>0</v>
      </c>
      <c r="N341" s="1">
        <v>387</v>
      </c>
      <c r="O341" s="1">
        <f>N341*4968</f>
        <v>1922616</v>
      </c>
      <c r="P341" s="1">
        <v>0</v>
      </c>
      <c r="Q341" s="1">
        <f t="shared" si="203"/>
        <v>0</v>
      </c>
      <c r="R341" s="1">
        <v>440.5</v>
      </c>
      <c r="S341" s="1">
        <f t="shared" si="204"/>
        <v>1652315.5</v>
      </c>
      <c r="T341" s="1">
        <v>0</v>
      </c>
      <c r="U341" s="1">
        <v>50000</v>
      </c>
      <c r="V341" s="1">
        <v>0</v>
      </c>
      <c r="W341" s="1">
        <v>50000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</row>
    <row r="342" spans="1:30" s="20" customFormat="1" ht="36" customHeight="1" x14ac:dyDescent="0.25">
      <c r="A342" s="2">
        <f t="shared" si="199"/>
        <v>315</v>
      </c>
      <c r="B342" s="6">
        <f t="shared" si="201"/>
        <v>315</v>
      </c>
      <c r="C342" s="19" t="s">
        <v>211</v>
      </c>
      <c r="D342" s="4">
        <f t="shared" si="217"/>
        <v>1048597.1000000001</v>
      </c>
      <c r="E342" s="1">
        <f t="shared" si="202"/>
        <v>948597.10000000009</v>
      </c>
      <c r="F342" s="1">
        <f>804*571.1</f>
        <v>459164.4</v>
      </c>
      <c r="G342" s="1">
        <v>0</v>
      </c>
      <c r="H342" s="1">
        <f>390*571.1</f>
        <v>222729</v>
      </c>
      <c r="I342" s="1">
        <v>0</v>
      </c>
      <c r="J342" s="1">
        <f>467*571.1</f>
        <v>266703.7</v>
      </c>
      <c r="K342" s="1">
        <v>0</v>
      </c>
      <c r="L342" s="2">
        <v>0</v>
      </c>
      <c r="M342" s="1">
        <v>0</v>
      </c>
      <c r="N342" s="1">
        <v>0</v>
      </c>
      <c r="O342" s="1">
        <v>0</v>
      </c>
      <c r="P342" s="1">
        <v>0</v>
      </c>
      <c r="Q342" s="1">
        <f t="shared" si="203"/>
        <v>0</v>
      </c>
      <c r="R342" s="1">
        <v>0</v>
      </c>
      <c r="S342" s="1">
        <f t="shared" si="204"/>
        <v>0</v>
      </c>
      <c r="T342" s="1">
        <v>0</v>
      </c>
      <c r="U342" s="1">
        <v>50000</v>
      </c>
      <c r="V342" s="1">
        <v>0</v>
      </c>
      <c r="W342" s="1">
        <v>50000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</row>
    <row r="343" spans="1:30" s="20" customFormat="1" ht="36" customHeight="1" x14ac:dyDescent="0.25">
      <c r="A343" s="2">
        <f t="shared" si="199"/>
        <v>316</v>
      </c>
      <c r="B343" s="6">
        <f t="shared" si="201"/>
        <v>316</v>
      </c>
      <c r="C343" s="19" t="s">
        <v>2146</v>
      </c>
      <c r="D343" s="4">
        <f t="shared" si="217"/>
        <v>1917710.8</v>
      </c>
      <c r="E343" s="1">
        <f t="shared" si="202"/>
        <v>329800.8</v>
      </c>
      <c r="F343" s="1">
        <f>804*410.2</f>
        <v>329800.8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2">
        <v>0</v>
      </c>
      <c r="M343" s="1">
        <v>0</v>
      </c>
      <c r="N343" s="1">
        <v>0</v>
      </c>
      <c r="O343" s="1">
        <v>0</v>
      </c>
      <c r="P343" s="1">
        <v>0</v>
      </c>
      <c r="Q343" s="1">
        <f t="shared" si="203"/>
        <v>0</v>
      </c>
      <c r="R343" s="1">
        <v>410</v>
      </c>
      <c r="S343" s="1">
        <f t="shared" si="204"/>
        <v>1537910</v>
      </c>
      <c r="T343" s="1">
        <v>0</v>
      </c>
      <c r="U343" s="1">
        <v>50000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</row>
    <row r="344" spans="1:30" s="20" customFormat="1" ht="36" customHeight="1" x14ac:dyDescent="0.25">
      <c r="A344" s="2">
        <f t="shared" si="199"/>
        <v>317</v>
      </c>
      <c r="B344" s="6">
        <f t="shared" ref="B344" si="231">A344</f>
        <v>317</v>
      </c>
      <c r="C344" s="19" t="s">
        <v>2147</v>
      </c>
      <c r="D344" s="4">
        <f t="shared" si="217"/>
        <v>1945362.4</v>
      </c>
      <c r="E344" s="1">
        <f t="shared" ref="E344" si="232">SUM(F344:K344)</f>
        <v>334946.40000000002</v>
      </c>
      <c r="F344" s="1">
        <f>804*416.6</f>
        <v>334946.40000000002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2">
        <v>0</v>
      </c>
      <c r="M344" s="1">
        <v>0</v>
      </c>
      <c r="N344" s="1">
        <v>0</v>
      </c>
      <c r="O344" s="1">
        <v>0</v>
      </c>
      <c r="P344" s="1">
        <v>0</v>
      </c>
      <c r="Q344" s="1">
        <f t="shared" ref="Q344" si="233">P344*1400</f>
        <v>0</v>
      </c>
      <c r="R344" s="1">
        <v>416</v>
      </c>
      <c r="S344" s="1">
        <f t="shared" ref="S344" si="234">R344*3751</f>
        <v>1560416</v>
      </c>
      <c r="T344" s="1">
        <v>0</v>
      </c>
      <c r="U344" s="1">
        <v>50000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</row>
    <row r="345" spans="1:30" s="20" customFormat="1" ht="36" customHeight="1" x14ac:dyDescent="0.25">
      <c r="A345" s="2">
        <f t="shared" si="199"/>
        <v>318</v>
      </c>
      <c r="B345" s="6">
        <f t="shared" si="201"/>
        <v>318</v>
      </c>
      <c r="C345" s="19" t="s">
        <v>214</v>
      </c>
      <c r="D345" s="4">
        <f t="shared" si="217"/>
        <v>6527682.5999999996</v>
      </c>
      <c r="E345" s="1">
        <f t="shared" si="202"/>
        <v>1338766</v>
      </c>
      <c r="F345" s="1">
        <f>804*806</f>
        <v>648024</v>
      </c>
      <c r="G345" s="1">
        <v>0</v>
      </c>
      <c r="H345" s="1">
        <f>390*806</f>
        <v>314340</v>
      </c>
      <c r="I345" s="1">
        <v>0</v>
      </c>
      <c r="J345" s="1">
        <f>467*806</f>
        <v>376402</v>
      </c>
      <c r="K345" s="1">
        <v>0</v>
      </c>
      <c r="L345" s="2">
        <v>0</v>
      </c>
      <c r="M345" s="1">
        <v>0</v>
      </c>
      <c r="N345" s="1">
        <v>455</v>
      </c>
      <c r="O345" s="1">
        <f t="shared" ref="O345:O362" si="235">N345*7750</f>
        <v>3526250</v>
      </c>
      <c r="P345" s="1">
        <v>0</v>
      </c>
      <c r="Q345" s="1">
        <f t="shared" si="203"/>
        <v>0</v>
      </c>
      <c r="R345" s="1">
        <v>416.6</v>
      </c>
      <c r="S345" s="1">
        <f t="shared" si="204"/>
        <v>1562666.6</v>
      </c>
      <c r="T345" s="1">
        <v>0</v>
      </c>
      <c r="U345" s="1">
        <v>50000</v>
      </c>
      <c r="V345" s="1">
        <v>0</v>
      </c>
      <c r="W345" s="1">
        <v>50000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</row>
    <row r="346" spans="1:30" s="20" customFormat="1" ht="36" customHeight="1" x14ac:dyDescent="0.25">
      <c r="A346" s="2">
        <f t="shared" si="199"/>
        <v>319</v>
      </c>
      <c r="B346" s="6">
        <f t="shared" si="201"/>
        <v>319</v>
      </c>
      <c r="C346" s="19" t="s">
        <v>215</v>
      </c>
      <c r="D346" s="4">
        <f t="shared" si="217"/>
        <v>5914224.4000000004</v>
      </c>
      <c r="E346" s="1">
        <f t="shared" si="202"/>
        <v>1013874.3999999999</v>
      </c>
      <c r="F346" s="1">
        <f>804*610.4</f>
        <v>490761.6</v>
      </c>
      <c r="G346" s="1">
        <v>0</v>
      </c>
      <c r="H346" s="1">
        <f>390*610.4</f>
        <v>238056</v>
      </c>
      <c r="I346" s="1">
        <v>0</v>
      </c>
      <c r="J346" s="1">
        <f>467*610.4</f>
        <v>285056.8</v>
      </c>
      <c r="K346" s="1">
        <v>0</v>
      </c>
      <c r="L346" s="2">
        <v>0</v>
      </c>
      <c r="M346" s="1">
        <v>0</v>
      </c>
      <c r="N346" s="1">
        <v>450</v>
      </c>
      <c r="O346" s="1">
        <f t="shared" si="235"/>
        <v>3487500</v>
      </c>
      <c r="P346" s="1">
        <v>0</v>
      </c>
      <c r="Q346" s="1">
        <f t="shared" si="203"/>
        <v>0</v>
      </c>
      <c r="R346" s="1">
        <v>350</v>
      </c>
      <c r="S346" s="1">
        <f t="shared" si="204"/>
        <v>1312850</v>
      </c>
      <c r="T346" s="1">
        <v>0</v>
      </c>
      <c r="U346" s="1">
        <v>50000</v>
      </c>
      <c r="V346" s="1">
        <v>0</v>
      </c>
      <c r="W346" s="1">
        <v>50000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</row>
    <row r="347" spans="1:30" s="20" customFormat="1" ht="36" customHeight="1" x14ac:dyDescent="0.25">
      <c r="A347" s="2">
        <f t="shared" si="199"/>
        <v>320</v>
      </c>
      <c r="B347" s="2">
        <f t="shared" si="201"/>
        <v>320</v>
      </c>
      <c r="C347" s="19" t="s">
        <v>216</v>
      </c>
      <c r="D347" s="39">
        <f t="shared" si="217"/>
        <v>5896950</v>
      </c>
      <c r="E347" s="1">
        <f t="shared" si="202"/>
        <v>996600</v>
      </c>
      <c r="F347" s="1">
        <f>804*600</f>
        <v>482400</v>
      </c>
      <c r="G347" s="1">
        <v>0</v>
      </c>
      <c r="H347" s="1">
        <f>390*600</f>
        <v>234000</v>
      </c>
      <c r="I347" s="1">
        <v>0</v>
      </c>
      <c r="J347" s="1">
        <f>467*600</f>
        <v>280200</v>
      </c>
      <c r="K347" s="1">
        <v>0</v>
      </c>
      <c r="L347" s="2">
        <v>0</v>
      </c>
      <c r="M347" s="1">
        <v>0</v>
      </c>
      <c r="N347" s="1">
        <v>450</v>
      </c>
      <c r="O347" s="1">
        <f t="shared" si="235"/>
        <v>3487500</v>
      </c>
      <c r="P347" s="1">
        <v>0</v>
      </c>
      <c r="Q347" s="1">
        <f t="shared" si="203"/>
        <v>0</v>
      </c>
      <c r="R347" s="1">
        <v>350</v>
      </c>
      <c r="S347" s="1">
        <f t="shared" si="204"/>
        <v>1312850</v>
      </c>
      <c r="T347" s="1">
        <v>0</v>
      </c>
      <c r="U347" s="1">
        <v>50000</v>
      </c>
      <c r="V347" s="1">
        <v>0</v>
      </c>
      <c r="W347" s="1">
        <v>50000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</row>
    <row r="348" spans="1:30" s="20" customFormat="1" ht="36" customHeight="1" x14ac:dyDescent="0.25">
      <c r="A348" s="2">
        <f t="shared" si="199"/>
        <v>321</v>
      </c>
      <c r="B348" s="2">
        <f t="shared" si="201"/>
        <v>321</v>
      </c>
      <c r="C348" s="19" t="s">
        <v>217</v>
      </c>
      <c r="D348" s="39">
        <f t="shared" si="217"/>
        <v>5628690</v>
      </c>
      <c r="E348" s="1">
        <f t="shared" si="202"/>
        <v>728340</v>
      </c>
      <c r="F348" s="1">
        <f>804*610</f>
        <v>490440</v>
      </c>
      <c r="G348" s="1">
        <v>0</v>
      </c>
      <c r="H348" s="1">
        <f>390*610</f>
        <v>237900</v>
      </c>
      <c r="I348" s="1">
        <v>0</v>
      </c>
      <c r="J348" s="1">
        <v>0</v>
      </c>
      <c r="K348" s="1">
        <v>0</v>
      </c>
      <c r="L348" s="2">
        <v>0</v>
      </c>
      <c r="M348" s="1">
        <v>0</v>
      </c>
      <c r="N348" s="1">
        <v>450</v>
      </c>
      <c r="O348" s="1">
        <f t="shared" si="235"/>
        <v>3487500</v>
      </c>
      <c r="P348" s="1">
        <v>0</v>
      </c>
      <c r="Q348" s="1">
        <f t="shared" si="203"/>
        <v>0</v>
      </c>
      <c r="R348" s="1">
        <v>350</v>
      </c>
      <c r="S348" s="1">
        <f t="shared" si="204"/>
        <v>1312850</v>
      </c>
      <c r="T348" s="1">
        <v>0</v>
      </c>
      <c r="U348" s="1">
        <v>50000</v>
      </c>
      <c r="V348" s="1">
        <v>0</v>
      </c>
      <c r="W348" s="1">
        <v>50000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</row>
    <row r="349" spans="1:30" s="20" customFormat="1" ht="36" customHeight="1" x14ac:dyDescent="0.25">
      <c r="A349" s="2">
        <f t="shared" si="199"/>
        <v>322</v>
      </c>
      <c r="B349" s="6">
        <f>A349</f>
        <v>322</v>
      </c>
      <c r="C349" s="19" t="s">
        <v>221</v>
      </c>
      <c r="D349" s="4">
        <f t="shared" si="217"/>
        <v>4803782</v>
      </c>
      <c r="E349" s="1">
        <f>SUM(F349:K349)</f>
        <v>437376</v>
      </c>
      <c r="F349" s="1">
        <f>804*544</f>
        <v>437376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2">
        <v>0</v>
      </c>
      <c r="M349" s="1">
        <v>0</v>
      </c>
      <c r="N349" s="1">
        <v>354</v>
      </c>
      <c r="O349" s="1">
        <f>N349*7750</f>
        <v>2743500</v>
      </c>
      <c r="P349" s="1">
        <v>0</v>
      </c>
      <c r="Q349" s="1">
        <f>P349*1400</f>
        <v>0</v>
      </c>
      <c r="R349" s="1">
        <v>406</v>
      </c>
      <c r="S349" s="1">
        <f>R349*3751</f>
        <v>1522906</v>
      </c>
      <c r="T349" s="1">
        <v>0</v>
      </c>
      <c r="U349" s="1">
        <v>50000</v>
      </c>
      <c r="V349" s="1">
        <v>0</v>
      </c>
      <c r="W349" s="1">
        <v>50000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</row>
    <row r="350" spans="1:30" s="20" customFormat="1" ht="36" customHeight="1" x14ac:dyDescent="0.25">
      <c r="A350" s="2">
        <f t="shared" si="199"/>
        <v>323</v>
      </c>
      <c r="B350" s="6">
        <f>A350</f>
        <v>323</v>
      </c>
      <c r="C350" s="19" t="s">
        <v>223</v>
      </c>
      <c r="D350" s="4">
        <f t="shared" si="217"/>
        <v>6624693</v>
      </c>
      <c r="E350" s="1">
        <f>SUM(F350:K350)</f>
        <v>336876</v>
      </c>
      <c r="F350" s="1">
        <f>804*419</f>
        <v>336876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2">
        <v>0</v>
      </c>
      <c r="M350" s="1">
        <v>0</v>
      </c>
      <c r="N350" s="1">
        <v>524</v>
      </c>
      <c r="O350" s="1">
        <f>N350*7750</f>
        <v>4061000</v>
      </c>
      <c r="P350" s="1">
        <v>0</v>
      </c>
      <c r="Q350" s="1">
        <f>P350*1400</f>
        <v>0</v>
      </c>
      <c r="R350" s="1">
        <v>567</v>
      </c>
      <c r="S350" s="1">
        <f>R350*3751</f>
        <v>2126817</v>
      </c>
      <c r="T350" s="1">
        <v>0</v>
      </c>
      <c r="U350" s="1">
        <v>50000</v>
      </c>
      <c r="V350" s="1">
        <v>0</v>
      </c>
      <c r="W350" s="1">
        <v>50000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</row>
    <row r="351" spans="1:30" s="20" customFormat="1" ht="36" customHeight="1" x14ac:dyDescent="0.25">
      <c r="A351" s="2">
        <f t="shared" si="199"/>
        <v>324</v>
      </c>
      <c r="B351" s="6">
        <f>A351</f>
        <v>324</v>
      </c>
      <c r="C351" s="19" t="s">
        <v>224</v>
      </c>
      <c r="D351" s="4">
        <f t="shared" si="217"/>
        <v>4703282</v>
      </c>
      <c r="E351" s="1">
        <f>SUM(F351:K351)</f>
        <v>336876</v>
      </c>
      <c r="F351" s="1">
        <f>804*419</f>
        <v>336876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2">
        <v>0</v>
      </c>
      <c r="M351" s="1">
        <v>0</v>
      </c>
      <c r="N351" s="1">
        <v>354</v>
      </c>
      <c r="O351" s="1">
        <f>N351*7750</f>
        <v>2743500</v>
      </c>
      <c r="P351" s="1">
        <v>0</v>
      </c>
      <c r="Q351" s="1">
        <f>P351*1400</f>
        <v>0</v>
      </c>
      <c r="R351" s="1">
        <v>406</v>
      </c>
      <c r="S351" s="1">
        <f>R351*3751</f>
        <v>1522906</v>
      </c>
      <c r="T351" s="1">
        <v>0</v>
      </c>
      <c r="U351" s="1">
        <v>50000</v>
      </c>
      <c r="V351" s="1">
        <v>0</v>
      </c>
      <c r="W351" s="1">
        <v>50000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</row>
    <row r="352" spans="1:30" s="20" customFormat="1" ht="36" customHeight="1" x14ac:dyDescent="0.25">
      <c r="A352" s="2">
        <f t="shared" si="199"/>
        <v>325</v>
      </c>
      <c r="B352" s="6">
        <f t="shared" si="201"/>
        <v>325</v>
      </c>
      <c r="C352" s="19" t="s">
        <v>219</v>
      </c>
      <c r="D352" s="4">
        <f t="shared" si="217"/>
        <v>6730017</v>
      </c>
      <c r="E352" s="1">
        <f t="shared" si="202"/>
        <v>442200</v>
      </c>
      <c r="F352" s="1">
        <f>804*550</f>
        <v>442200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2">
        <v>0</v>
      </c>
      <c r="M352" s="1">
        <v>0</v>
      </c>
      <c r="N352" s="1">
        <v>524</v>
      </c>
      <c r="O352" s="1">
        <f t="shared" si="235"/>
        <v>4061000</v>
      </c>
      <c r="P352" s="1">
        <v>0</v>
      </c>
      <c r="Q352" s="1">
        <f t="shared" si="203"/>
        <v>0</v>
      </c>
      <c r="R352" s="1">
        <v>567</v>
      </c>
      <c r="S352" s="1">
        <f t="shared" si="204"/>
        <v>2126817</v>
      </c>
      <c r="T352" s="1">
        <v>0</v>
      </c>
      <c r="U352" s="1">
        <v>50000</v>
      </c>
      <c r="V352" s="1">
        <v>0</v>
      </c>
      <c r="W352" s="1">
        <v>50000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</row>
    <row r="353" spans="1:30" s="20" customFormat="1" ht="36" customHeight="1" x14ac:dyDescent="0.25">
      <c r="A353" s="2">
        <f t="shared" si="199"/>
        <v>326</v>
      </c>
      <c r="B353" s="6">
        <f t="shared" si="201"/>
        <v>326</v>
      </c>
      <c r="C353" s="19" t="s">
        <v>220</v>
      </c>
      <c r="D353" s="4">
        <f t="shared" ref="D353:D365" si="236">E353+M353+O353+Q353+S353+T353+U353+V353+X353+W353+Z353+AA353+AB353+AC353+AD353</f>
        <v>4771622</v>
      </c>
      <c r="E353" s="1">
        <f t="shared" si="202"/>
        <v>405216</v>
      </c>
      <c r="F353" s="1">
        <f>804*504</f>
        <v>405216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2">
        <v>0</v>
      </c>
      <c r="M353" s="1">
        <v>0</v>
      </c>
      <c r="N353" s="1">
        <v>354</v>
      </c>
      <c r="O353" s="1">
        <f t="shared" si="235"/>
        <v>2743500</v>
      </c>
      <c r="P353" s="1">
        <v>0</v>
      </c>
      <c r="Q353" s="1">
        <f t="shared" si="203"/>
        <v>0</v>
      </c>
      <c r="R353" s="1">
        <v>406</v>
      </c>
      <c r="S353" s="1">
        <f t="shared" si="204"/>
        <v>1522906</v>
      </c>
      <c r="T353" s="1">
        <v>0</v>
      </c>
      <c r="U353" s="1">
        <v>50000</v>
      </c>
      <c r="V353" s="1">
        <v>0</v>
      </c>
      <c r="W353" s="1">
        <v>50000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</row>
    <row r="354" spans="1:30" s="20" customFormat="1" ht="36" customHeight="1" x14ac:dyDescent="0.25">
      <c r="A354" s="2">
        <f t="shared" si="199"/>
        <v>327</v>
      </c>
      <c r="B354" s="6">
        <f t="shared" si="201"/>
        <v>327</v>
      </c>
      <c r="C354" s="19" t="s">
        <v>225</v>
      </c>
      <c r="D354" s="4">
        <f t="shared" si="236"/>
        <v>7705736.75</v>
      </c>
      <c r="E354" s="1">
        <f t="shared" si="202"/>
        <v>2622331.75</v>
      </c>
      <c r="F354" s="1">
        <f>804*668.11</f>
        <v>537160.44000000006</v>
      </c>
      <c r="G354" s="1">
        <f>1693*668.11</f>
        <v>1131110.23</v>
      </c>
      <c r="H354" s="1">
        <f>390*668.11</f>
        <v>260562.9</v>
      </c>
      <c r="I354" s="1">
        <f>571*668.11</f>
        <v>381490.81</v>
      </c>
      <c r="J354" s="1">
        <f>467*668.11</f>
        <v>312007.37</v>
      </c>
      <c r="K354" s="1">
        <v>0</v>
      </c>
      <c r="L354" s="2">
        <v>0</v>
      </c>
      <c r="M354" s="1">
        <v>0</v>
      </c>
      <c r="N354" s="1">
        <v>434.9</v>
      </c>
      <c r="O354" s="1">
        <f t="shared" si="235"/>
        <v>3370475</v>
      </c>
      <c r="P354" s="1">
        <v>0</v>
      </c>
      <c r="Q354" s="1">
        <f t="shared" si="203"/>
        <v>0</v>
      </c>
      <c r="R354" s="1">
        <v>430</v>
      </c>
      <c r="S354" s="1">
        <f t="shared" si="204"/>
        <v>1612930</v>
      </c>
      <c r="T354" s="1">
        <v>0</v>
      </c>
      <c r="U354" s="1">
        <v>50000</v>
      </c>
      <c r="V354" s="1">
        <v>0</v>
      </c>
      <c r="W354" s="1">
        <v>50000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</row>
    <row r="355" spans="1:30" s="20" customFormat="1" ht="36" customHeight="1" x14ac:dyDescent="0.25">
      <c r="A355" s="2">
        <f t="shared" si="199"/>
        <v>328</v>
      </c>
      <c r="B355" s="6">
        <f t="shared" si="201"/>
        <v>328</v>
      </c>
      <c r="C355" s="19" t="s">
        <v>1811</v>
      </c>
      <c r="D355" s="4">
        <f t="shared" si="236"/>
        <v>6311272.4000000004</v>
      </c>
      <c r="E355" s="1">
        <f t="shared" si="202"/>
        <v>298766.40000000002</v>
      </c>
      <c r="F355" s="1">
        <f>804*371.6</f>
        <v>298766.40000000002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2">
        <v>0</v>
      </c>
      <c r="M355" s="1">
        <v>0</v>
      </c>
      <c r="N355" s="1">
        <v>566.4</v>
      </c>
      <c r="O355" s="1">
        <f t="shared" si="235"/>
        <v>4389600</v>
      </c>
      <c r="P355" s="1">
        <v>0</v>
      </c>
      <c r="Q355" s="1">
        <f t="shared" si="203"/>
        <v>0</v>
      </c>
      <c r="R355" s="1">
        <v>406</v>
      </c>
      <c r="S355" s="1">
        <f t="shared" si="204"/>
        <v>1522906</v>
      </c>
      <c r="T355" s="1">
        <v>0</v>
      </c>
      <c r="U355" s="1">
        <v>50000</v>
      </c>
      <c r="V355" s="1">
        <v>0</v>
      </c>
      <c r="W355" s="1">
        <v>50000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</row>
    <row r="356" spans="1:30" s="20" customFormat="1" ht="36" customHeight="1" x14ac:dyDescent="0.25">
      <c r="A356" s="2">
        <f t="shared" si="199"/>
        <v>329</v>
      </c>
      <c r="B356" s="6">
        <f t="shared" ref="B356" si="237">A356</f>
        <v>329</v>
      </c>
      <c r="C356" s="19" t="s">
        <v>2454</v>
      </c>
      <c r="D356" s="4">
        <f t="shared" si="236"/>
        <v>5909406</v>
      </c>
      <c r="E356" s="1">
        <f t="shared" ref="E356" si="238">SUM(F356:K356)</f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2">
        <v>0</v>
      </c>
      <c r="M356" s="1">
        <v>0</v>
      </c>
      <c r="N356" s="1">
        <v>566</v>
      </c>
      <c r="O356" s="1">
        <f>N356*7750</f>
        <v>4386500</v>
      </c>
      <c r="P356" s="1">
        <v>0</v>
      </c>
      <c r="Q356" s="1">
        <f t="shared" ref="Q356" si="239">P356*1400</f>
        <v>0</v>
      </c>
      <c r="R356" s="1">
        <v>406</v>
      </c>
      <c r="S356" s="1">
        <f t="shared" ref="S356" si="240">R356*3751</f>
        <v>1522906</v>
      </c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</row>
    <row r="357" spans="1:30" s="20" customFormat="1" ht="36" customHeight="1" x14ac:dyDescent="0.25">
      <c r="A357" s="2">
        <f t="shared" si="199"/>
        <v>330</v>
      </c>
      <c r="B357" s="6">
        <f t="shared" si="201"/>
        <v>330</v>
      </c>
      <c r="C357" s="19" t="s">
        <v>2455</v>
      </c>
      <c r="D357" s="4">
        <f t="shared" si="236"/>
        <v>6257288</v>
      </c>
      <c r="E357" s="1">
        <f t="shared" si="202"/>
        <v>297882</v>
      </c>
      <c r="F357" s="1">
        <f>804*370.5</f>
        <v>297882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2">
        <v>0</v>
      </c>
      <c r="M357" s="1">
        <v>0</v>
      </c>
      <c r="N357" s="1">
        <v>566</v>
      </c>
      <c r="O357" s="1">
        <f>N357*7750</f>
        <v>4386500</v>
      </c>
      <c r="P357" s="1">
        <v>0</v>
      </c>
      <c r="Q357" s="1">
        <f t="shared" si="203"/>
        <v>0</v>
      </c>
      <c r="R357" s="1">
        <v>406</v>
      </c>
      <c r="S357" s="1">
        <f t="shared" si="204"/>
        <v>1522906</v>
      </c>
      <c r="T357" s="1">
        <v>0</v>
      </c>
      <c r="U357" s="1">
        <v>50000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</row>
    <row r="358" spans="1:30" s="20" customFormat="1" ht="36" customHeight="1" x14ac:dyDescent="0.25">
      <c r="A358" s="2">
        <f t="shared" si="199"/>
        <v>331</v>
      </c>
      <c r="B358" s="6">
        <f t="shared" si="201"/>
        <v>331</v>
      </c>
      <c r="C358" s="19" t="s">
        <v>226</v>
      </c>
      <c r="D358" s="4">
        <f t="shared" si="236"/>
        <v>5580103.9399999995</v>
      </c>
      <c r="E358" s="1">
        <f t="shared" si="202"/>
        <v>917702.5</v>
      </c>
      <c r="F358" s="1">
        <f>804*552.5</f>
        <v>444210</v>
      </c>
      <c r="G358" s="1">
        <v>0</v>
      </c>
      <c r="H358" s="1">
        <f>390*552.5</f>
        <v>215475</v>
      </c>
      <c r="I358" s="1">
        <v>0</v>
      </c>
      <c r="J358" s="1">
        <f>467*552.5</f>
        <v>258017.5</v>
      </c>
      <c r="K358" s="1">
        <v>0</v>
      </c>
      <c r="L358" s="2">
        <v>0</v>
      </c>
      <c r="M358" s="1">
        <v>0</v>
      </c>
      <c r="N358" s="1">
        <v>370.2</v>
      </c>
      <c r="O358" s="1">
        <f t="shared" si="235"/>
        <v>2869050</v>
      </c>
      <c r="P358" s="1">
        <v>0</v>
      </c>
      <c r="Q358" s="1">
        <f t="shared" si="203"/>
        <v>0</v>
      </c>
      <c r="R358" s="1">
        <v>451.44</v>
      </c>
      <c r="S358" s="1">
        <f t="shared" si="204"/>
        <v>1693351.44</v>
      </c>
      <c r="T358" s="1">
        <v>0</v>
      </c>
      <c r="U358" s="1">
        <v>50000</v>
      </c>
      <c r="V358" s="1">
        <v>0</v>
      </c>
      <c r="W358" s="1">
        <v>50000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</row>
    <row r="359" spans="1:30" s="20" customFormat="1" ht="36" customHeight="1" x14ac:dyDescent="0.25">
      <c r="A359" s="2">
        <f t="shared" ref="A359:A365" si="241">ROW()-ROW($A$11)-16</f>
        <v>332</v>
      </c>
      <c r="B359" s="6">
        <f t="shared" si="201"/>
        <v>332</v>
      </c>
      <c r="C359" s="19" t="s">
        <v>227</v>
      </c>
      <c r="D359" s="4">
        <f t="shared" si="236"/>
        <v>5735545.4399999995</v>
      </c>
      <c r="E359" s="1">
        <f t="shared" si="202"/>
        <v>948431</v>
      </c>
      <c r="F359" s="1">
        <f>804*571</f>
        <v>459084</v>
      </c>
      <c r="G359" s="1">
        <v>0</v>
      </c>
      <c r="H359" s="1">
        <f>390*571</f>
        <v>222690</v>
      </c>
      <c r="I359" s="1">
        <v>0</v>
      </c>
      <c r="J359" s="1">
        <f>467*571</f>
        <v>266657</v>
      </c>
      <c r="K359" s="1">
        <v>0</v>
      </c>
      <c r="L359" s="2">
        <v>0</v>
      </c>
      <c r="M359" s="1">
        <v>0</v>
      </c>
      <c r="N359" s="1">
        <v>380</v>
      </c>
      <c r="O359" s="1">
        <f t="shared" si="235"/>
        <v>2945000</v>
      </c>
      <c r="P359" s="1">
        <v>0</v>
      </c>
      <c r="Q359" s="1">
        <f t="shared" si="203"/>
        <v>0</v>
      </c>
      <c r="R359" s="1">
        <v>464.44</v>
      </c>
      <c r="S359" s="1">
        <f t="shared" si="204"/>
        <v>1742114.44</v>
      </c>
      <c r="T359" s="1">
        <v>0</v>
      </c>
      <c r="U359" s="1">
        <v>50000</v>
      </c>
      <c r="V359" s="1">
        <v>0</v>
      </c>
      <c r="W359" s="1">
        <v>50000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</row>
    <row r="360" spans="1:30" s="20" customFormat="1" ht="36" customHeight="1" x14ac:dyDescent="0.25">
      <c r="A360" s="2">
        <f t="shared" si="241"/>
        <v>333</v>
      </c>
      <c r="B360" s="6">
        <f t="shared" si="201"/>
        <v>333</v>
      </c>
      <c r="C360" s="19" t="s">
        <v>228</v>
      </c>
      <c r="D360" s="4">
        <f t="shared" si="236"/>
        <v>6730087.5</v>
      </c>
      <c r="E360" s="1">
        <f t="shared" si="202"/>
        <v>927668.5</v>
      </c>
      <c r="F360" s="1">
        <f>804*558.5</f>
        <v>449034</v>
      </c>
      <c r="G360" s="1">
        <v>0</v>
      </c>
      <c r="H360" s="1">
        <f>390*558.5</f>
        <v>217815</v>
      </c>
      <c r="I360" s="1">
        <v>0</v>
      </c>
      <c r="J360" s="1">
        <f>467*558.5</f>
        <v>260819.5</v>
      </c>
      <c r="K360" s="1">
        <v>0</v>
      </c>
      <c r="L360" s="2">
        <v>0</v>
      </c>
      <c r="M360" s="1">
        <v>0</v>
      </c>
      <c r="N360" s="1">
        <v>533</v>
      </c>
      <c r="O360" s="1">
        <f t="shared" si="235"/>
        <v>4130750</v>
      </c>
      <c r="P360" s="1">
        <v>0</v>
      </c>
      <c r="Q360" s="1">
        <f t="shared" si="203"/>
        <v>0</v>
      </c>
      <c r="R360" s="1">
        <v>419</v>
      </c>
      <c r="S360" s="1">
        <f t="shared" si="204"/>
        <v>1571669</v>
      </c>
      <c r="T360" s="1">
        <v>0</v>
      </c>
      <c r="U360" s="1">
        <v>50000</v>
      </c>
      <c r="V360" s="1">
        <v>0</v>
      </c>
      <c r="W360" s="1">
        <v>50000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</row>
    <row r="361" spans="1:30" s="20" customFormat="1" ht="36" customHeight="1" x14ac:dyDescent="0.25">
      <c r="A361" s="2">
        <f t="shared" si="241"/>
        <v>334</v>
      </c>
      <c r="B361" s="6">
        <f>A361</f>
        <v>334</v>
      </c>
      <c r="C361" s="19" t="s">
        <v>230</v>
      </c>
      <c r="D361" s="4">
        <f t="shared" si="236"/>
        <v>6594416.7000000002</v>
      </c>
      <c r="E361" s="1">
        <f t="shared" si="202"/>
        <v>696818.4</v>
      </c>
      <c r="F361" s="1">
        <f>804*583.6</f>
        <v>469214.4</v>
      </c>
      <c r="G361" s="1">
        <v>0</v>
      </c>
      <c r="H361" s="1">
        <f>390*583.6</f>
        <v>227604</v>
      </c>
      <c r="I361" s="1">
        <v>0</v>
      </c>
      <c r="J361" s="1">
        <v>0</v>
      </c>
      <c r="K361" s="1">
        <v>0</v>
      </c>
      <c r="L361" s="2">
        <v>0</v>
      </c>
      <c r="M361" s="1">
        <v>0</v>
      </c>
      <c r="N361" s="1">
        <v>567.4</v>
      </c>
      <c r="O361" s="1">
        <f t="shared" si="235"/>
        <v>4397350</v>
      </c>
      <c r="P361" s="1">
        <v>0</v>
      </c>
      <c r="Q361" s="1">
        <f t="shared" si="203"/>
        <v>0</v>
      </c>
      <c r="R361" s="1">
        <v>373.3</v>
      </c>
      <c r="S361" s="1">
        <f t="shared" si="204"/>
        <v>1400248.3</v>
      </c>
      <c r="T361" s="1">
        <v>0</v>
      </c>
      <c r="U361" s="1">
        <v>50000</v>
      </c>
      <c r="V361" s="1">
        <v>0</v>
      </c>
      <c r="W361" s="1">
        <v>50000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</row>
    <row r="362" spans="1:30" s="20" customFormat="1" ht="36" customHeight="1" x14ac:dyDescent="0.25">
      <c r="A362" s="2">
        <f t="shared" si="241"/>
        <v>335</v>
      </c>
      <c r="B362" s="6">
        <f>A362</f>
        <v>335</v>
      </c>
      <c r="C362" s="19" t="s">
        <v>231</v>
      </c>
      <c r="D362" s="4">
        <f t="shared" si="236"/>
        <v>6712760</v>
      </c>
      <c r="E362" s="1">
        <f t="shared" si="202"/>
        <v>491450.4</v>
      </c>
      <c r="F362" s="1">
        <f>804*411.6</f>
        <v>330926.40000000002</v>
      </c>
      <c r="G362" s="1">
        <v>0</v>
      </c>
      <c r="H362" s="1">
        <f>390*411.6</f>
        <v>160524</v>
      </c>
      <c r="I362" s="1">
        <v>0</v>
      </c>
      <c r="J362" s="1">
        <v>0</v>
      </c>
      <c r="K362" s="1">
        <v>0</v>
      </c>
      <c r="L362" s="2">
        <v>0</v>
      </c>
      <c r="M362" s="1">
        <v>0</v>
      </c>
      <c r="N362" s="1">
        <v>567.4</v>
      </c>
      <c r="O362" s="1">
        <f t="shared" si="235"/>
        <v>4397350</v>
      </c>
      <c r="P362" s="1">
        <v>0</v>
      </c>
      <c r="Q362" s="1">
        <f t="shared" si="203"/>
        <v>0</v>
      </c>
      <c r="R362" s="1">
        <v>459.6</v>
      </c>
      <c r="S362" s="1">
        <f t="shared" si="204"/>
        <v>1723959.6</v>
      </c>
      <c r="T362" s="1">
        <v>0</v>
      </c>
      <c r="U362" s="1">
        <v>50000</v>
      </c>
      <c r="V362" s="1">
        <v>0</v>
      </c>
      <c r="W362" s="1">
        <v>50000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</row>
    <row r="363" spans="1:30" s="20" customFormat="1" ht="36" customHeight="1" x14ac:dyDescent="0.25">
      <c r="A363" s="2">
        <f t="shared" si="241"/>
        <v>336</v>
      </c>
      <c r="B363" s="6">
        <f t="shared" ref="B363:B364" si="242">A363</f>
        <v>336</v>
      </c>
      <c r="C363" s="19" t="s">
        <v>2149</v>
      </c>
      <c r="D363" s="4">
        <f t="shared" si="236"/>
        <v>1912419.9</v>
      </c>
      <c r="E363" s="1">
        <f t="shared" ref="E363:E364" si="243">SUM(F363:K363)</f>
        <v>733368.89999999991</v>
      </c>
      <c r="F363" s="1">
        <f>804*293.7</f>
        <v>236134.8</v>
      </c>
      <c r="G363" s="1">
        <f>1693*293.7</f>
        <v>497234.1</v>
      </c>
      <c r="H363" s="1">
        <v>0</v>
      </c>
      <c r="I363" s="1">
        <v>0</v>
      </c>
      <c r="J363" s="1">
        <v>0</v>
      </c>
      <c r="K363" s="1">
        <v>0</v>
      </c>
      <c r="L363" s="2">
        <v>0</v>
      </c>
      <c r="M363" s="1">
        <v>0</v>
      </c>
      <c r="N363" s="1">
        <v>0</v>
      </c>
      <c r="O363" s="1">
        <v>0</v>
      </c>
      <c r="P363" s="1">
        <v>0</v>
      </c>
      <c r="Q363" s="1">
        <f t="shared" ref="Q363:Q364" si="244">P363*1400</f>
        <v>0</v>
      </c>
      <c r="R363" s="1">
        <v>301</v>
      </c>
      <c r="S363" s="1">
        <f t="shared" ref="S363:S364" si="245">R363*3751</f>
        <v>1129051</v>
      </c>
      <c r="T363" s="1">
        <v>0</v>
      </c>
      <c r="U363" s="1">
        <v>50000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</row>
    <row r="364" spans="1:30" s="20" customFormat="1" ht="36" customHeight="1" x14ac:dyDescent="0.25">
      <c r="A364" s="2">
        <f t="shared" si="241"/>
        <v>337</v>
      </c>
      <c r="B364" s="6">
        <f t="shared" si="242"/>
        <v>337</v>
      </c>
      <c r="C364" s="19" t="s">
        <v>2150</v>
      </c>
      <c r="D364" s="4">
        <f t="shared" si="236"/>
        <v>2761366.8</v>
      </c>
      <c r="E364" s="1">
        <f t="shared" si="243"/>
        <v>735116.79999999993</v>
      </c>
      <c r="F364" s="1">
        <f>804*294.4</f>
        <v>236697.59999999998</v>
      </c>
      <c r="G364" s="1">
        <f>1693*294.4</f>
        <v>498419.19999999995</v>
      </c>
      <c r="H364" s="1">
        <v>0</v>
      </c>
      <c r="I364" s="1">
        <v>0</v>
      </c>
      <c r="J364" s="1">
        <v>0</v>
      </c>
      <c r="K364" s="1">
        <v>0</v>
      </c>
      <c r="L364" s="2">
        <v>0</v>
      </c>
      <c r="M364" s="1">
        <v>0</v>
      </c>
      <c r="N364" s="1">
        <v>255</v>
      </c>
      <c r="O364" s="1">
        <f>N364*7750</f>
        <v>1976250</v>
      </c>
      <c r="P364" s="1">
        <v>0</v>
      </c>
      <c r="Q364" s="1">
        <f t="shared" si="244"/>
        <v>0</v>
      </c>
      <c r="R364" s="1">
        <v>0</v>
      </c>
      <c r="S364" s="1">
        <f t="shared" si="245"/>
        <v>0</v>
      </c>
      <c r="T364" s="1">
        <v>0</v>
      </c>
      <c r="U364" s="1">
        <v>50000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</row>
    <row r="365" spans="1:30" s="20" customFormat="1" ht="36" customHeight="1" x14ac:dyDescent="0.25">
      <c r="A365" s="2">
        <f t="shared" si="241"/>
        <v>338</v>
      </c>
      <c r="B365" s="6">
        <f t="shared" ref="B365" si="246">A365</f>
        <v>338</v>
      </c>
      <c r="C365" s="19" t="s">
        <v>2151</v>
      </c>
      <c r="D365" s="4">
        <f t="shared" si="236"/>
        <v>1333054</v>
      </c>
      <c r="E365" s="1">
        <f t="shared" ref="E365" si="247">SUM(F365:K365)</f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2">
        <v>0</v>
      </c>
      <c r="M365" s="1">
        <v>0</v>
      </c>
      <c r="N365" s="1">
        <v>257</v>
      </c>
      <c r="O365" s="1">
        <f>N365*750</f>
        <v>192750</v>
      </c>
      <c r="P365" s="1">
        <v>0</v>
      </c>
      <c r="Q365" s="1">
        <f t="shared" ref="Q365" si="248">P365*1400</f>
        <v>0</v>
      </c>
      <c r="R365" s="1">
        <v>304</v>
      </c>
      <c r="S365" s="1">
        <f t="shared" ref="S365" si="249">R365*3751</f>
        <v>1140304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</row>
    <row r="366" spans="1:30" s="20" customFormat="1" ht="54.95" customHeight="1" x14ac:dyDescent="0.25">
      <c r="A366" s="3"/>
      <c r="B366" s="47" t="s">
        <v>1981</v>
      </c>
      <c r="C366" s="48"/>
      <c r="D366" s="4">
        <f>SUM(D367:D1017)</f>
        <v>6066968690.9499979</v>
      </c>
      <c r="E366" s="4">
        <f t="shared" ref="E366:AD366" si="250">SUM(E367:E1017)</f>
        <v>2233982005.9199996</v>
      </c>
      <c r="F366" s="4">
        <f t="shared" si="250"/>
        <v>462998072.99999982</v>
      </c>
      <c r="G366" s="4">
        <f t="shared" si="250"/>
        <v>973583809.11000025</v>
      </c>
      <c r="H366" s="4">
        <f t="shared" si="250"/>
        <v>226699356</v>
      </c>
      <c r="I366" s="4">
        <f t="shared" si="250"/>
        <v>300067238.79000008</v>
      </c>
      <c r="J366" s="4">
        <f t="shared" si="250"/>
        <v>270633529.01999998</v>
      </c>
      <c r="K366" s="4">
        <f t="shared" si="250"/>
        <v>0</v>
      </c>
      <c r="L366" s="17">
        <f t="shared" si="250"/>
        <v>736</v>
      </c>
      <c r="M366" s="4">
        <f t="shared" si="250"/>
        <v>2576000000</v>
      </c>
      <c r="N366" s="4">
        <f t="shared" si="250"/>
        <v>54769.270000000004</v>
      </c>
      <c r="O366" s="4">
        <f t="shared" si="250"/>
        <v>373196537.5</v>
      </c>
      <c r="P366" s="4">
        <f t="shared" si="250"/>
        <v>450</v>
      </c>
      <c r="Q366" s="4">
        <f t="shared" si="250"/>
        <v>630000</v>
      </c>
      <c r="R366" s="4">
        <f t="shared" si="250"/>
        <v>213986.95</v>
      </c>
      <c r="S366" s="4">
        <f t="shared" si="250"/>
        <v>802665049.45000005</v>
      </c>
      <c r="T366" s="4">
        <f t="shared" si="250"/>
        <v>600000</v>
      </c>
      <c r="U366" s="4">
        <f t="shared" si="250"/>
        <v>61750000</v>
      </c>
      <c r="V366" s="4">
        <f t="shared" si="250"/>
        <v>0</v>
      </c>
      <c r="W366" s="4">
        <f t="shared" si="250"/>
        <v>18050000</v>
      </c>
      <c r="X366" s="4">
        <f t="shared" si="250"/>
        <v>0</v>
      </c>
      <c r="Y366" s="4">
        <f t="shared" si="250"/>
        <v>0</v>
      </c>
      <c r="Z366" s="4">
        <f t="shared" si="250"/>
        <v>0</v>
      </c>
      <c r="AA366" s="4">
        <f t="shared" si="250"/>
        <v>0</v>
      </c>
      <c r="AB366" s="4">
        <f t="shared" si="250"/>
        <v>95098.08</v>
      </c>
      <c r="AC366" s="4">
        <f t="shared" si="250"/>
        <v>0</v>
      </c>
      <c r="AD366" s="4">
        <f t="shared" si="250"/>
        <v>0</v>
      </c>
    </row>
    <row r="367" spans="1:30" s="20" customFormat="1" ht="36" customHeight="1" x14ac:dyDescent="0.25">
      <c r="A367" s="2">
        <f>ROW()-ROW($A$11)-17</f>
        <v>339</v>
      </c>
      <c r="B367" s="6">
        <f>A367</f>
        <v>339</v>
      </c>
      <c r="C367" s="19" t="s">
        <v>2443</v>
      </c>
      <c r="D367" s="4">
        <f t="shared" ref="D367:D398" si="251">E367+M367+O367+Q367+S367+T367+U367+V367+W367+X367+Z367+AA367+AB367+AC367+AD367</f>
        <v>11525800</v>
      </c>
      <c r="E367" s="1">
        <f>SUM(F367:K367)</f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2">
        <v>0</v>
      </c>
      <c r="M367" s="1">
        <f>L367*3500000</f>
        <v>0</v>
      </c>
      <c r="N367" s="1">
        <v>1100</v>
      </c>
      <c r="O367" s="1">
        <f t="shared" ref="O367" si="252">N367*7750</f>
        <v>8525000</v>
      </c>
      <c r="P367" s="1">
        <v>0</v>
      </c>
      <c r="Q367" s="1">
        <f>P367*1400</f>
        <v>0</v>
      </c>
      <c r="R367" s="1">
        <v>800</v>
      </c>
      <c r="S367" s="1">
        <f>R367*3751</f>
        <v>3000800</v>
      </c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</row>
    <row r="368" spans="1:30" s="20" customFormat="1" ht="36" customHeight="1" x14ac:dyDescent="0.25">
      <c r="A368" s="2">
        <f>ROW()-ROW($A$11)-17</f>
        <v>340</v>
      </c>
      <c r="B368" s="6">
        <f>A368</f>
        <v>340</v>
      </c>
      <c r="C368" s="19" t="s">
        <v>232</v>
      </c>
      <c r="D368" s="4">
        <f t="shared" si="251"/>
        <v>7895557.5</v>
      </c>
      <c r="E368" s="1">
        <f>SUM(F368:K368)</f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2">
        <v>0</v>
      </c>
      <c r="M368" s="1">
        <f>L368*3500000</f>
        <v>0</v>
      </c>
      <c r="N368" s="1">
        <v>1012.33</v>
      </c>
      <c r="O368" s="1">
        <f t="shared" ref="O368:O381" si="253">N368*7750</f>
        <v>7845557.5</v>
      </c>
      <c r="P368" s="1">
        <v>0</v>
      </c>
      <c r="Q368" s="1">
        <f>P368*1400</f>
        <v>0</v>
      </c>
      <c r="R368" s="1">
        <v>0</v>
      </c>
      <c r="S368" s="1">
        <f>R368*3751</f>
        <v>0</v>
      </c>
      <c r="T368" s="1">
        <v>0</v>
      </c>
      <c r="U368" s="1">
        <v>0</v>
      </c>
      <c r="V368" s="1">
        <v>0</v>
      </c>
      <c r="W368" s="1">
        <v>50000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</row>
    <row r="369" spans="1:30" s="20" customFormat="1" ht="36" customHeight="1" x14ac:dyDescent="0.25">
      <c r="A369" s="2">
        <f t="shared" ref="A369:A465" si="254">ROW()-ROW($A$11)-17</f>
        <v>341</v>
      </c>
      <c r="B369" s="6">
        <f>A369</f>
        <v>341</v>
      </c>
      <c r="C369" s="19" t="s">
        <v>233</v>
      </c>
      <c r="D369" s="4">
        <f t="shared" si="251"/>
        <v>7625677.2499999991</v>
      </c>
      <c r="E369" s="1">
        <f>SUM(F369:K369)</f>
        <v>7525677.2499999991</v>
      </c>
      <c r="F369" s="1">
        <f>804*1917.37</f>
        <v>1541565.48</v>
      </c>
      <c r="G369" s="1">
        <f>1693*1917.37</f>
        <v>3246107.4099999997</v>
      </c>
      <c r="H369" s="1">
        <f>390*1917.37</f>
        <v>747774.29999999993</v>
      </c>
      <c r="I369" s="1">
        <f>571*1917.37</f>
        <v>1094818.27</v>
      </c>
      <c r="J369" s="1">
        <f>467*1917.37</f>
        <v>895411.78999999992</v>
      </c>
      <c r="K369" s="1">
        <v>0</v>
      </c>
      <c r="L369" s="2">
        <v>0</v>
      </c>
      <c r="M369" s="1">
        <f t="shared" ref="M369:M495" si="255">L369*3500000</f>
        <v>0</v>
      </c>
      <c r="N369" s="1">
        <v>0</v>
      </c>
      <c r="O369" s="1">
        <f t="shared" si="253"/>
        <v>0</v>
      </c>
      <c r="P369" s="1">
        <v>0</v>
      </c>
      <c r="Q369" s="1">
        <f t="shared" ref="Q369:Q484" si="256">P369*1400</f>
        <v>0</v>
      </c>
      <c r="R369" s="1">
        <v>0</v>
      </c>
      <c r="S369" s="1">
        <f t="shared" ref="S369:S484" si="257">R369*3751</f>
        <v>0</v>
      </c>
      <c r="T369" s="1">
        <v>0</v>
      </c>
      <c r="U369" s="1">
        <v>50000</v>
      </c>
      <c r="V369" s="1">
        <v>0</v>
      </c>
      <c r="W369" s="1">
        <v>50000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</row>
    <row r="370" spans="1:30" s="20" customFormat="1" ht="36" customHeight="1" x14ac:dyDescent="0.25">
      <c r="A370" s="2">
        <f t="shared" si="254"/>
        <v>342</v>
      </c>
      <c r="B370" s="6">
        <f>A370</f>
        <v>342</v>
      </c>
      <c r="C370" s="19" t="s">
        <v>234</v>
      </c>
      <c r="D370" s="4">
        <f t="shared" si="251"/>
        <v>4876332.5</v>
      </c>
      <c r="E370" s="1">
        <f t="shared" ref="E370:E484" si="258">SUM(F370:K370)</f>
        <v>4776332.5</v>
      </c>
      <c r="F370" s="1">
        <f>804*1216.9</f>
        <v>978387.60000000009</v>
      </c>
      <c r="G370" s="1">
        <f>1693*1216.9</f>
        <v>2060211.7000000002</v>
      </c>
      <c r="H370" s="1">
        <f>390*1216.9</f>
        <v>474591.00000000006</v>
      </c>
      <c r="I370" s="1">
        <f>571*1216.9</f>
        <v>694849.9</v>
      </c>
      <c r="J370" s="1">
        <f>467*1216.9</f>
        <v>568292.30000000005</v>
      </c>
      <c r="K370" s="1">
        <v>0</v>
      </c>
      <c r="L370" s="2">
        <v>0</v>
      </c>
      <c r="M370" s="1">
        <f t="shared" si="255"/>
        <v>0</v>
      </c>
      <c r="N370" s="1">
        <v>0</v>
      </c>
      <c r="O370" s="1">
        <f t="shared" si="253"/>
        <v>0</v>
      </c>
      <c r="P370" s="1">
        <v>0</v>
      </c>
      <c r="Q370" s="1">
        <f t="shared" si="256"/>
        <v>0</v>
      </c>
      <c r="R370" s="1">
        <v>0</v>
      </c>
      <c r="S370" s="1">
        <f t="shared" si="257"/>
        <v>0</v>
      </c>
      <c r="T370" s="1">
        <v>0</v>
      </c>
      <c r="U370" s="1">
        <v>50000</v>
      </c>
      <c r="V370" s="1">
        <v>0</v>
      </c>
      <c r="W370" s="1">
        <v>50000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</row>
    <row r="371" spans="1:30" s="20" customFormat="1" ht="36" customHeight="1" x14ac:dyDescent="0.25">
      <c r="A371" s="2">
        <f t="shared" si="254"/>
        <v>343</v>
      </c>
      <c r="B371" s="6">
        <f t="shared" ref="B371:B376" si="259">A371</f>
        <v>343</v>
      </c>
      <c r="C371" s="19" t="s">
        <v>235</v>
      </c>
      <c r="D371" s="4">
        <f t="shared" si="251"/>
        <v>11565600</v>
      </c>
      <c r="E371" s="1">
        <f t="shared" si="258"/>
        <v>7977170.0000000009</v>
      </c>
      <c r="F371" s="1">
        <f>804*2032.4</f>
        <v>1634049.6</v>
      </c>
      <c r="G371" s="1">
        <f>1693*2032.4</f>
        <v>3440853.2</v>
      </c>
      <c r="H371" s="1">
        <f>390*2032.4</f>
        <v>792636</v>
      </c>
      <c r="I371" s="1">
        <f>571*2032.4</f>
        <v>1160500.4000000001</v>
      </c>
      <c r="J371" s="1">
        <f>467*2032.4</f>
        <v>949130.8</v>
      </c>
      <c r="K371" s="1">
        <v>0</v>
      </c>
      <c r="L371" s="2">
        <v>0</v>
      </c>
      <c r="M371" s="1">
        <f t="shared" si="255"/>
        <v>0</v>
      </c>
      <c r="N371" s="1">
        <v>0</v>
      </c>
      <c r="O371" s="1">
        <f t="shared" si="253"/>
        <v>0</v>
      </c>
      <c r="P371" s="1">
        <v>0</v>
      </c>
      <c r="Q371" s="1">
        <f t="shared" si="256"/>
        <v>0</v>
      </c>
      <c r="R371" s="1">
        <v>930</v>
      </c>
      <c r="S371" s="1">
        <f t="shared" si="257"/>
        <v>3488430</v>
      </c>
      <c r="T371" s="1">
        <v>0</v>
      </c>
      <c r="U371" s="1">
        <v>50000</v>
      </c>
      <c r="V371" s="1">
        <v>0</v>
      </c>
      <c r="W371" s="1">
        <v>50000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</row>
    <row r="372" spans="1:30" s="20" customFormat="1" ht="36" customHeight="1" x14ac:dyDescent="0.25">
      <c r="A372" s="2">
        <f t="shared" si="254"/>
        <v>344</v>
      </c>
      <c r="B372" s="6">
        <f t="shared" si="259"/>
        <v>344</v>
      </c>
      <c r="C372" s="19" t="s">
        <v>236</v>
      </c>
      <c r="D372" s="4">
        <f t="shared" si="251"/>
        <v>4827662.5</v>
      </c>
      <c r="E372" s="1">
        <f t="shared" si="258"/>
        <v>4727662.5</v>
      </c>
      <c r="F372" s="1">
        <f>804*1204.5</f>
        <v>968418</v>
      </c>
      <c r="G372" s="1">
        <f>1693*1204.5</f>
        <v>2039218.5</v>
      </c>
      <c r="H372" s="1">
        <f>390*1204.5</f>
        <v>469755</v>
      </c>
      <c r="I372" s="1">
        <f>571*1204.5</f>
        <v>687769.5</v>
      </c>
      <c r="J372" s="1">
        <f>467*1204.5</f>
        <v>562501.5</v>
      </c>
      <c r="K372" s="1">
        <v>0</v>
      </c>
      <c r="L372" s="2">
        <v>0</v>
      </c>
      <c r="M372" s="1">
        <f t="shared" si="255"/>
        <v>0</v>
      </c>
      <c r="N372" s="1">
        <v>0</v>
      </c>
      <c r="O372" s="1">
        <f t="shared" si="253"/>
        <v>0</v>
      </c>
      <c r="P372" s="1">
        <v>0</v>
      </c>
      <c r="Q372" s="1">
        <f t="shared" si="256"/>
        <v>0</v>
      </c>
      <c r="R372" s="1">
        <v>0</v>
      </c>
      <c r="S372" s="1">
        <f t="shared" si="257"/>
        <v>0</v>
      </c>
      <c r="T372" s="1">
        <v>0</v>
      </c>
      <c r="U372" s="1">
        <v>50000</v>
      </c>
      <c r="V372" s="1">
        <v>0</v>
      </c>
      <c r="W372" s="1">
        <v>50000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</row>
    <row r="373" spans="1:30" s="20" customFormat="1" ht="36" customHeight="1" x14ac:dyDescent="0.25">
      <c r="A373" s="2">
        <f t="shared" si="254"/>
        <v>345</v>
      </c>
      <c r="B373" s="6">
        <f t="shared" si="259"/>
        <v>345</v>
      </c>
      <c r="C373" s="19" t="s">
        <v>237</v>
      </c>
      <c r="D373" s="4">
        <f t="shared" si="251"/>
        <v>10834357.5</v>
      </c>
      <c r="E373" s="1">
        <f t="shared" si="258"/>
        <v>8108657.5000000009</v>
      </c>
      <c r="F373" s="1">
        <f>804*2065.9</f>
        <v>1660983.6</v>
      </c>
      <c r="G373" s="1">
        <f>1693*2065.9</f>
        <v>3497568.7</v>
      </c>
      <c r="H373" s="1">
        <f>390*2065.9</f>
        <v>805701</v>
      </c>
      <c r="I373" s="1">
        <f>571*2065.9</f>
        <v>1179628.9000000001</v>
      </c>
      <c r="J373" s="1">
        <f>467*2065.9</f>
        <v>964775.3</v>
      </c>
      <c r="K373" s="1">
        <v>0</v>
      </c>
      <c r="L373" s="2">
        <v>0</v>
      </c>
      <c r="M373" s="1">
        <f t="shared" si="255"/>
        <v>0</v>
      </c>
      <c r="N373" s="1">
        <v>0</v>
      </c>
      <c r="O373" s="1">
        <f t="shared" si="253"/>
        <v>0</v>
      </c>
      <c r="P373" s="1">
        <v>0</v>
      </c>
      <c r="Q373" s="1">
        <f t="shared" si="256"/>
        <v>0</v>
      </c>
      <c r="R373" s="1">
        <v>700</v>
      </c>
      <c r="S373" s="1">
        <f t="shared" si="257"/>
        <v>2625700</v>
      </c>
      <c r="T373" s="1">
        <v>0</v>
      </c>
      <c r="U373" s="1">
        <v>50000</v>
      </c>
      <c r="V373" s="1">
        <v>0</v>
      </c>
      <c r="W373" s="1">
        <v>50000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</row>
    <row r="374" spans="1:30" s="20" customFormat="1" ht="36" customHeight="1" x14ac:dyDescent="0.25">
      <c r="A374" s="2">
        <f t="shared" si="254"/>
        <v>346</v>
      </c>
      <c r="B374" s="6">
        <f t="shared" si="259"/>
        <v>346</v>
      </c>
      <c r="C374" s="19" t="s">
        <v>238</v>
      </c>
      <c r="D374" s="4">
        <f t="shared" si="251"/>
        <v>5505470.75</v>
      </c>
      <c r="E374" s="1">
        <f t="shared" si="258"/>
        <v>5405470.75</v>
      </c>
      <c r="F374" s="1">
        <f>804*1377.19</f>
        <v>1107260.76</v>
      </c>
      <c r="G374" s="1">
        <f>1693*1377.19</f>
        <v>2331582.67</v>
      </c>
      <c r="H374" s="1">
        <f>390*1377.19</f>
        <v>537104.1</v>
      </c>
      <c r="I374" s="1">
        <f>571*1377.19</f>
        <v>786375.49</v>
      </c>
      <c r="J374" s="1">
        <f>467*1377.19</f>
        <v>643147.73</v>
      </c>
      <c r="K374" s="1">
        <v>0</v>
      </c>
      <c r="L374" s="2">
        <v>0</v>
      </c>
      <c r="M374" s="1">
        <f t="shared" si="255"/>
        <v>0</v>
      </c>
      <c r="N374" s="1">
        <v>0</v>
      </c>
      <c r="O374" s="1">
        <f t="shared" si="253"/>
        <v>0</v>
      </c>
      <c r="P374" s="1">
        <v>0</v>
      </c>
      <c r="Q374" s="1">
        <f t="shared" si="256"/>
        <v>0</v>
      </c>
      <c r="R374" s="1">
        <v>0</v>
      </c>
      <c r="S374" s="1">
        <f t="shared" si="257"/>
        <v>0</v>
      </c>
      <c r="T374" s="1">
        <v>0</v>
      </c>
      <c r="U374" s="1">
        <v>50000</v>
      </c>
      <c r="V374" s="1">
        <v>0</v>
      </c>
      <c r="W374" s="1">
        <v>50000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</row>
    <row r="375" spans="1:30" s="20" customFormat="1" ht="36" customHeight="1" x14ac:dyDescent="0.25">
      <c r="A375" s="2">
        <f t="shared" si="254"/>
        <v>347</v>
      </c>
      <c r="B375" s="6">
        <f t="shared" si="259"/>
        <v>347</v>
      </c>
      <c r="C375" s="19" t="s">
        <v>239</v>
      </c>
      <c r="D375" s="4">
        <f t="shared" si="251"/>
        <v>7159504.9999999991</v>
      </c>
      <c r="E375" s="1">
        <f t="shared" si="258"/>
        <v>7059504.9999999991</v>
      </c>
      <c r="F375" s="1">
        <f>804*1798.6</f>
        <v>1446074.4</v>
      </c>
      <c r="G375" s="1">
        <f>1693*1798.6</f>
        <v>3045029.8</v>
      </c>
      <c r="H375" s="1">
        <f>390*1798.6</f>
        <v>701454</v>
      </c>
      <c r="I375" s="1">
        <f>571*1798.6</f>
        <v>1027000.6</v>
      </c>
      <c r="J375" s="1">
        <f>467*1798.6</f>
        <v>839946.2</v>
      </c>
      <c r="K375" s="1">
        <v>0</v>
      </c>
      <c r="L375" s="2">
        <v>0</v>
      </c>
      <c r="M375" s="1">
        <f t="shared" si="255"/>
        <v>0</v>
      </c>
      <c r="N375" s="1">
        <v>0</v>
      </c>
      <c r="O375" s="1">
        <f t="shared" si="253"/>
        <v>0</v>
      </c>
      <c r="P375" s="1">
        <v>0</v>
      </c>
      <c r="Q375" s="1">
        <f t="shared" si="256"/>
        <v>0</v>
      </c>
      <c r="R375" s="1">
        <v>0</v>
      </c>
      <c r="S375" s="1">
        <f t="shared" si="257"/>
        <v>0</v>
      </c>
      <c r="T375" s="1">
        <v>0</v>
      </c>
      <c r="U375" s="1">
        <v>50000</v>
      </c>
      <c r="V375" s="1">
        <v>0</v>
      </c>
      <c r="W375" s="1">
        <v>50000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</row>
    <row r="376" spans="1:30" s="20" customFormat="1" ht="36" customHeight="1" x14ac:dyDescent="0.25">
      <c r="A376" s="2">
        <f t="shared" si="254"/>
        <v>348</v>
      </c>
      <c r="B376" s="6">
        <f t="shared" si="259"/>
        <v>348</v>
      </c>
      <c r="C376" s="19" t="s">
        <v>240</v>
      </c>
      <c r="D376" s="4">
        <f t="shared" si="251"/>
        <v>3639054.7499999995</v>
      </c>
      <c r="E376" s="1">
        <f t="shared" si="258"/>
        <v>3539054.7499999995</v>
      </c>
      <c r="F376" s="1">
        <f>804*901.67</f>
        <v>724942.67999999993</v>
      </c>
      <c r="G376" s="1">
        <f>1693*901.67</f>
        <v>1526527.3099999998</v>
      </c>
      <c r="H376" s="1">
        <f>390*901.67</f>
        <v>351651.3</v>
      </c>
      <c r="I376" s="1">
        <f>571*901.67</f>
        <v>514853.56999999995</v>
      </c>
      <c r="J376" s="1">
        <f>467*901.67</f>
        <v>421079.88999999996</v>
      </c>
      <c r="K376" s="1">
        <v>0</v>
      </c>
      <c r="L376" s="2">
        <v>0</v>
      </c>
      <c r="M376" s="1">
        <f t="shared" si="255"/>
        <v>0</v>
      </c>
      <c r="N376" s="1">
        <v>0</v>
      </c>
      <c r="O376" s="1">
        <f t="shared" si="253"/>
        <v>0</v>
      </c>
      <c r="P376" s="1">
        <v>0</v>
      </c>
      <c r="Q376" s="1">
        <f t="shared" si="256"/>
        <v>0</v>
      </c>
      <c r="R376" s="1">
        <v>0</v>
      </c>
      <c r="S376" s="1">
        <f t="shared" si="257"/>
        <v>0</v>
      </c>
      <c r="T376" s="1">
        <v>0</v>
      </c>
      <c r="U376" s="1">
        <v>50000</v>
      </c>
      <c r="V376" s="1">
        <v>0</v>
      </c>
      <c r="W376" s="1">
        <v>50000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</row>
    <row r="377" spans="1:30" s="20" customFormat="1" ht="36" customHeight="1" x14ac:dyDescent="0.25">
      <c r="A377" s="2">
        <f t="shared" si="254"/>
        <v>349</v>
      </c>
      <c r="B377" s="6">
        <f t="shared" ref="B377:B394" si="260">A377</f>
        <v>349</v>
      </c>
      <c r="C377" s="19" t="s">
        <v>241</v>
      </c>
      <c r="D377" s="4">
        <f t="shared" si="251"/>
        <v>4385314.9999999991</v>
      </c>
      <c r="E377" s="1">
        <f t="shared" si="258"/>
        <v>4285314.9999999991</v>
      </c>
      <c r="F377" s="1">
        <f>804*1091.8</f>
        <v>877807.2</v>
      </c>
      <c r="G377" s="1">
        <f>1693*1091.8</f>
        <v>1848417.4</v>
      </c>
      <c r="H377" s="1">
        <f>390*1091.8</f>
        <v>425802</v>
      </c>
      <c r="I377" s="1">
        <f>571*1091.8</f>
        <v>623417.79999999993</v>
      </c>
      <c r="J377" s="1">
        <f>467*1091.8</f>
        <v>509870.6</v>
      </c>
      <c r="K377" s="1">
        <v>0</v>
      </c>
      <c r="L377" s="2">
        <v>0</v>
      </c>
      <c r="M377" s="1">
        <f t="shared" si="255"/>
        <v>0</v>
      </c>
      <c r="N377" s="1">
        <v>0</v>
      </c>
      <c r="O377" s="1">
        <f t="shared" si="253"/>
        <v>0</v>
      </c>
      <c r="P377" s="1">
        <v>0</v>
      </c>
      <c r="Q377" s="1">
        <f t="shared" si="256"/>
        <v>0</v>
      </c>
      <c r="R377" s="1">
        <v>0</v>
      </c>
      <c r="S377" s="1">
        <f t="shared" si="257"/>
        <v>0</v>
      </c>
      <c r="T377" s="1">
        <v>0</v>
      </c>
      <c r="U377" s="1">
        <v>50000</v>
      </c>
      <c r="V377" s="1">
        <v>0</v>
      </c>
      <c r="W377" s="1">
        <v>50000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</row>
    <row r="378" spans="1:30" s="20" customFormat="1" ht="36" customHeight="1" x14ac:dyDescent="0.25">
      <c r="A378" s="2">
        <f t="shared" si="254"/>
        <v>350</v>
      </c>
      <c r="B378" s="6">
        <f t="shared" si="260"/>
        <v>350</v>
      </c>
      <c r="C378" s="19" t="s">
        <v>242</v>
      </c>
      <c r="D378" s="4">
        <f t="shared" si="251"/>
        <v>3890764.9999999995</v>
      </c>
      <c r="E378" s="1">
        <f t="shared" si="258"/>
        <v>3790764.9999999995</v>
      </c>
      <c r="F378" s="1">
        <f>804*965.8</f>
        <v>776503.2</v>
      </c>
      <c r="G378" s="1">
        <f>1693*965.8</f>
        <v>1635099.4</v>
      </c>
      <c r="H378" s="1">
        <f>390*965.8</f>
        <v>376662</v>
      </c>
      <c r="I378" s="1">
        <f>571*965.8</f>
        <v>551471.79999999993</v>
      </c>
      <c r="J378" s="1">
        <f>467*965.8</f>
        <v>451028.6</v>
      </c>
      <c r="K378" s="1">
        <v>0</v>
      </c>
      <c r="L378" s="2">
        <v>0</v>
      </c>
      <c r="M378" s="1">
        <f t="shared" si="255"/>
        <v>0</v>
      </c>
      <c r="N378" s="1">
        <v>0</v>
      </c>
      <c r="O378" s="1">
        <f t="shared" si="253"/>
        <v>0</v>
      </c>
      <c r="P378" s="1">
        <v>0</v>
      </c>
      <c r="Q378" s="1">
        <f t="shared" si="256"/>
        <v>0</v>
      </c>
      <c r="R378" s="1">
        <v>0</v>
      </c>
      <c r="S378" s="1">
        <f t="shared" si="257"/>
        <v>0</v>
      </c>
      <c r="T378" s="1">
        <v>0</v>
      </c>
      <c r="U378" s="1">
        <v>50000</v>
      </c>
      <c r="V378" s="1">
        <v>0</v>
      </c>
      <c r="W378" s="1">
        <v>50000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</row>
    <row r="379" spans="1:30" s="20" customFormat="1" ht="36" customHeight="1" x14ac:dyDescent="0.25">
      <c r="A379" s="2">
        <f t="shared" si="254"/>
        <v>351</v>
      </c>
      <c r="B379" s="6">
        <f t="shared" si="260"/>
        <v>351</v>
      </c>
      <c r="C379" s="19" t="s">
        <v>243</v>
      </c>
      <c r="D379" s="4">
        <f t="shared" si="251"/>
        <v>14026130.75</v>
      </c>
      <c r="E379" s="1">
        <f t="shared" si="258"/>
        <v>10175130.75</v>
      </c>
      <c r="F379" s="1">
        <f>804*2592.39</f>
        <v>2084281.5599999998</v>
      </c>
      <c r="G379" s="1">
        <f>1693*2592.39</f>
        <v>4388916.2699999996</v>
      </c>
      <c r="H379" s="1">
        <f>390*2592.39</f>
        <v>1011032.1</v>
      </c>
      <c r="I379" s="1">
        <f>571*2592.39</f>
        <v>1480254.69</v>
      </c>
      <c r="J379" s="1">
        <f>467*2592.39</f>
        <v>1210646.1299999999</v>
      </c>
      <c r="K379" s="1">
        <v>0</v>
      </c>
      <c r="L379" s="2">
        <v>0</v>
      </c>
      <c r="M379" s="1">
        <f t="shared" si="255"/>
        <v>0</v>
      </c>
      <c r="N379" s="1">
        <v>0</v>
      </c>
      <c r="O379" s="1">
        <f t="shared" si="253"/>
        <v>0</v>
      </c>
      <c r="P379" s="1">
        <v>0</v>
      </c>
      <c r="Q379" s="1">
        <f t="shared" si="256"/>
        <v>0</v>
      </c>
      <c r="R379" s="1">
        <v>1000</v>
      </c>
      <c r="S379" s="1">
        <f t="shared" si="257"/>
        <v>3751000</v>
      </c>
      <c r="T379" s="1">
        <v>0</v>
      </c>
      <c r="U379" s="1">
        <v>50000</v>
      </c>
      <c r="V379" s="1">
        <v>0</v>
      </c>
      <c r="W379" s="1">
        <v>50000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</row>
    <row r="380" spans="1:30" s="20" customFormat="1" ht="36" customHeight="1" x14ac:dyDescent="0.25">
      <c r="A380" s="2">
        <f t="shared" si="254"/>
        <v>352</v>
      </c>
      <c r="B380" s="6">
        <f t="shared" si="260"/>
        <v>352</v>
      </c>
      <c r="C380" s="19" t="s">
        <v>245</v>
      </c>
      <c r="D380" s="4">
        <f t="shared" si="251"/>
        <v>2579815</v>
      </c>
      <c r="E380" s="1">
        <f t="shared" si="258"/>
        <v>2479815</v>
      </c>
      <c r="F380" s="1">
        <f>804*631.8</f>
        <v>507967.19999999995</v>
      </c>
      <c r="G380" s="1">
        <f>1693*631.8</f>
        <v>1069637.3999999999</v>
      </c>
      <c r="H380" s="1">
        <f>390*631.8</f>
        <v>246401.99999999997</v>
      </c>
      <c r="I380" s="1">
        <f>571*631.8</f>
        <v>360757.8</v>
      </c>
      <c r="J380" s="1">
        <f>467*631.8</f>
        <v>295050.59999999998</v>
      </c>
      <c r="K380" s="1">
        <v>0</v>
      </c>
      <c r="L380" s="2">
        <v>0</v>
      </c>
      <c r="M380" s="1">
        <f t="shared" si="255"/>
        <v>0</v>
      </c>
      <c r="N380" s="1">
        <v>0</v>
      </c>
      <c r="O380" s="1">
        <f t="shared" si="253"/>
        <v>0</v>
      </c>
      <c r="P380" s="1">
        <v>0</v>
      </c>
      <c r="Q380" s="1">
        <f t="shared" si="256"/>
        <v>0</v>
      </c>
      <c r="R380" s="1">
        <v>0</v>
      </c>
      <c r="S380" s="1">
        <f t="shared" si="257"/>
        <v>0</v>
      </c>
      <c r="T380" s="1">
        <v>0</v>
      </c>
      <c r="U380" s="1">
        <v>50000</v>
      </c>
      <c r="V380" s="1">
        <v>0</v>
      </c>
      <c r="W380" s="1">
        <v>50000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</row>
    <row r="381" spans="1:30" s="20" customFormat="1" ht="36" customHeight="1" x14ac:dyDescent="0.25">
      <c r="A381" s="2">
        <f t="shared" si="254"/>
        <v>353</v>
      </c>
      <c r="B381" s="6">
        <f t="shared" si="260"/>
        <v>353</v>
      </c>
      <c r="C381" s="19" t="s">
        <v>246</v>
      </c>
      <c r="D381" s="4">
        <f t="shared" si="251"/>
        <v>3923460.2500000005</v>
      </c>
      <c r="E381" s="1">
        <f t="shared" si="258"/>
        <v>3823460.2500000005</v>
      </c>
      <c r="F381" s="1">
        <f>804*974.13</f>
        <v>783200.52</v>
      </c>
      <c r="G381" s="1">
        <f>1693*974.13</f>
        <v>1649202.09</v>
      </c>
      <c r="H381" s="1">
        <f>390*974.13</f>
        <v>379910.7</v>
      </c>
      <c r="I381" s="1">
        <f>571*974.13</f>
        <v>556228.23</v>
      </c>
      <c r="J381" s="1">
        <f>467*974.13</f>
        <v>454918.71</v>
      </c>
      <c r="K381" s="1">
        <v>0</v>
      </c>
      <c r="L381" s="2">
        <v>0</v>
      </c>
      <c r="M381" s="1">
        <f t="shared" si="255"/>
        <v>0</v>
      </c>
      <c r="N381" s="1">
        <v>0</v>
      </c>
      <c r="O381" s="1">
        <f t="shared" si="253"/>
        <v>0</v>
      </c>
      <c r="P381" s="1">
        <v>0</v>
      </c>
      <c r="Q381" s="1">
        <f t="shared" si="256"/>
        <v>0</v>
      </c>
      <c r="R381" s="1">
        <v>0</v>
      </c>
      <c r="S381" s="1">
        <f t="shared" si="257"/>
        <v>0</v>
      </c>
      <c r="T381" s="1">
        <v>0</v>
      </c>
      <c r="U381" s="1">
        <v>50000</v>
      </c>
      <c r="V381" s="1">
        <v>0</v>
      </c>
      <c r="W381" s="1">
        <v>50000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</row>
    <row r="382" spans="1:30" s="20" customFormat="1" ht="36" customHeight="1" x14ac:dyDescent="0.25">
      <c r="A382" s="2">
        <f t="shared" si="254"/>
        <v>354</v>
      </c>
      <c r="B382" s="6">
        <f t="shared" ref="B382:B390" si="261">A382</f>
        <v>354</v>
      </c>
      <c r="C382" s="30" t="s">
        <v>251</v>
      </c>
      <c r="D382" s="4">
        <f t="shared" si="251"/>
        <v>4667224.25</v>
      </c>
      <c r="E382" s="1">
        <f t="shared" ref="E382:E390" si="262">SUM(F382:K382)</f>
        <v>2777997.25</v>
      </c>
      <c r="F382" s="1">
        <f>804*707.77</f>
        <v>569047.07999999996</v>
      </c>
      <c r="G382" s="1">
        <f>1693*707.77</f>
        <v>1198254.6099999999</v>
      </c>
      <c r="H382" s="1">
        <f>390*707.77</f>
        <v>276030.3</v>
      </c>
      <c r="I382" s="1">
        <f>571*707.77</f>
        <v>404136.67</v>
      </c>
      <c r="J382" s="1">
        <f>467*707.77</f>
        <v>330528.58999999997</v>
      </c>
      <c r="K382" s="1">
        <v>0</v>
      </c>
      <c r="L382" s="2">
        <v>0</v>
      </c>
      <c r="M382" s="1">
        <f t="shared" ref="M382:M390" si="263">L382*3500000</f>
        <v>0</v>
      </c>
      <c r="N382" s="1">
        <v>0</v>
      </c>
      <c r="O382" s="1">
        <v>0</v>
      </c>
      <c r="P382" s="1">
        <v>0</v>
      </c>
      <c r="Q382" s="1">
        <f t="shared" ref="Q382:Q390" si="264">P382*1400</f>
        <v>0</v>
      </c>
      <c r="R382" s="1">
        <v>477</v>
      </c>
      <c r="S382" s="1">
        <f t="shared" ref="S382:S390" si="265">R382*3751</f>
        <v>1789227</v>
      </c>
      <c r="T382" s="1">
        <v>0</v>
      </c>
      <c r="U382" s="1">
        <v>50000</v>
      </c>
      <c r="V382" s="1">
        <v>0</v>
      </c>
      <c r="W382" s="1">
        <v>50000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</row>
    <row r="383" spans="1:30" s="20" customFormat="1" ht="36" customHeight="1" x14ac:dyDescent="0.25">
      <c r="A383" s="2">
        <f t="shared" si="254"/>
        <v>355</v>
      </c>
      <c r="B383" s="6">
        <f t="shared" si="261"/>
        <v>355</v>
      </c>
      <c r="C383" s="30" t="s">
        <v>1777</v>
      </c>
      <c r="D383" s="4">
        <f t="shared" si="251"/>
        <v>2989895</v>
      </c>
      <c r="E383" s="1">
        <f t="shared" si="262"/>
        <v>2939895</v>
      </c>
      <c r="F383" s="1">
        <v>0</v>
      </c>
      <c r="G383" s="1">
        <f>1693*1152.9</f>
        <v>1951859.7000000002</v>
      </c>
      <c r="H383" s="1">
        <f>390*1152.9</f>
        <v>449631.00000000006</v>
      </c>
      <c r="I383" s="1">
        <v>0</v>
      </c>
      <c r="J383" s="1">
        <f>467*1152.9</f>
        <v>538404.30000000005</v>
      </c>
      <c r="K383" s="1">
        <v>0</v>
      </c>
      <c r="L383" s="2">
        <v>0</v>
      </c>
      <c r="M383" s="1">
        <f t="shared" si="263"/>
        <v>0</v>
      </c>
      <c r="N383" s="1">
        <v>0</v>
      </c>
      <c r="O383" s="1">
        <v>0</v>
      </c>
      <c r="P383" s="1">
        <v>0</v>
      </c>
      <c r="Q383" s="1">
        <f t="shared" si="264"/>
        <v>0</v>
      </c>
      <c r="R383" s="1">
        <v>0</v>
      </c>
      <c r="S383" s="1">
        <f t="shared" si="265"/>
        <v>0</v>
      </c>
      <c r="T383" s="1">
        <v>0</v>
      </c>
      <c r="U383" s="1">
        <v>50000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</row>
    <row r="384" spans="1:30" s="20" customFormat="1" ht="36" customHeight="1" x14ac:dyDescent="0.25">
      <c r="A384" s="2">
        <f t="shared" si="254"/>
        <v>356</v>
      </c>
      <c r="B384" s="6">
        <f t="shared" si="261"/>
        <v>356</v>
      </c>
      <c r="C384" s="30" t="s">
        <v>252</v>
      </c>
      <c r="D384" s="4">
        <f t="shared" si="251"/>
        <v>1185535</v>
      </c>
      <c r="E384" s="1">
        <f t="shared" si="262"/>
        <v>1085535</v>
      </c>
      <c r="F384" s="1">
        <v>0</v>
      </c>
      <c r="G384" s="1">
        <f>1693*425.7</f>
        <v>720710.1</v>
      </c>
      <c r="H384" s="1">
        <f>390*425.7</f>
        <v>166023</v>
      </c>
      <c r="I384" s="1">
        <v>0</v>
      </c>
      <c r="J384" s="1">
        <f>467*425.7</f>
        <v>198801.9</v>
      </c>
      <c r="K384" s="1">
        <v>0</v>
      </c>
      <c r="L384" s="2">
        <v>0</v>
      </c>
      <c r="M384" s="1">
        <f t="shared" si="263"/>
        <v>0</v>
      </c>
      <c r="N384" s="1">
        <v>0</v>
      </c>
      <c r="O384" s="1">
        <v>0</v>
      </c>
      <c r="P384" s="1">
        <v>0</v>
      </c>
      <c r="Q384" s="1">
        <f t="shared" si="264"/>
        <v>0</v>
      </c>
      <c r="R384" s="1">
        <v>0</v>
      </c>
      <c r="S384" s="1">
        <f t="shared" si="265"/>
        <v>0</v>
      </c>
      <c r="T384" s="1">
        <v>0</v>
      </c>
      <c r="U384" s="1">
        <v>50000</v>
      </c>
      <c r="V384" s="1">
        <v>0</v>
      </c>
      <c r="W384" s="1">
        <v>50000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</row>
    <row r="385" spans="1:30" s="20" customFormat="1" ht="36" customHeight="1" x14ac:dyDescent="0.25">
      <c r="A385" s="2">
        <f t="shared" si="254"/>
        <v>357</v>
      </c>
      <c r="B385" s="6">
        <f t="shared" si="261"/>
        <v>357</v>
      </c>
      <c r="C385" s="30" t="s">
        <v>1776</v>
      </c>
      <c r="D385" s="4">
        <f t="shared" si="251"/>
        <v>1322705</v>
      </c>
      <c r="E385" s="1">
        <f t="shared" si="262"/>
        <v>1272705</v>
      </c>
      <c r="F385" s="1">
        <v>0</v>
      </c>
      <c r="G385" s="1">
        <f>1693*499.1</f>
        <v>844976.3</v>
      </c>
      <c r="H385" s="1">
        <f>390*499.1</f>
        <v>194649</v>
      </c>
      <c r="I385" s="1">
        <v>0</v>
      </c>
      <c r="J385" s="1">
        <f>467*499.1</f>
        <v>233079.7</v>
      </c>
      <c r="K385" s="1">
        <v>0</v>
      </c>
      <c r="L385" s="2">
        <v>0</v>
      </c>
      <c r="M385" s="1">
        <f t="shared" si="263"/>
        <v>0</v>
      </c>
      <c r="N385" s="1">
        <v>0</v>
      </c>
      <c r="O385" s="1">
        <v>0</v>
      </c>
      <c r="P385" s="1">
        <v>0</v>
      </c>
      <c r="Q385" s="1">
        <f t="shared" si="264"/>
        <v>0</v>
      </c>
      <c r="R385" s="1">
        <v>0</v>
      </c>
      <c r="S385" s="1">
        <f t="shared" si="265"/>
        <v>0</v>
      </c>
      <c r="T385" s="1">
        <v>0</v>
      </c>
      <c r="U385" s="1">
        <v>50000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</row>
    <row r="386" spans="1:30" s="20" customFormat="1" ht="36" customHeight="1" x14ac:dyDescent="0.25">
      <c r="A386" s="2">
        <f t="shared" si="254"/>
        <v>358</v>
      </c>
      <c r="B386" s="6">
        <f t="shared" si="261"/>
        <v>358</v>
      </c>
      <c r="C386" s="19" t="s">
        <v>254</v>
      </c>
      <c r="D386" s="4">
        <f t="shared" si="251"/>
        <v>2966235</v>
      </c>
      <c r="E386" s="1">
        <f t="shared" si="262"/>
        <v>1178284.9999999998</v>
      </c>
      <c r="F386" s="1">
        <f>804*300.2</f>
        <v>241360.8</v>
      </c>
      <c r="G386" s="1">
        <f>1693*300.2</f>
        <v>508238.6</v>
      </c>
      <c r="H386" s="1">
        <f>390*300.2</f>
        <v>117078</v>
      </c>
      <c r="I386" s="1">
        <f>571*300.2</f>
        <v>171414.19999999998</v>
      </c>
      <c r="J386" s="1">
        <f>467*300.2</f>
        <v>140193.4</v>
      </c>
      <c r="K386" s="1">
        <v>0</v>
      </c>
      <c r="L386" s="2">
        <v>0</v>
      </c>
      <c r="M386" s="1">
        <f t="shared" si="263"/>
        <v>0</v>
      </c>
      <c r="N386" s="1">
        <v>0</v>
      </c>
      <c r="O386" s="1">
        <v>0</v>
      </c>
      <c r="P386" s="1">
        <v>0</v>
      </c>
      <c r="Q386" s="1">
        <f t="shared" si="264"/>
        <v>0</v>
      </c>
      <c r="R386" s="1">
        <v>450</v>
      </c>
      <c r="S386" s="1">
        <f t="shared" si="265"/>
        <v>1687950</v>
      </c>
      <c r="T386" s="1">
        <v>0</v>
      </c>
      <c r="U386" s="1">
        <v>50000</v>
      </c>
      <c r="V386" s="1">
        <v>0</v>
      </c>
      <c r="W386" s="1">
        <v>50000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</row>
    <row r="387" spans="1:30" s="20" customFormat="1" ht="36" customHeight="1" x14ac:dyDescent="0.25">
      <c r="A387" s="2">
        <f t="shared" si="254"/>
        <v>359</v>
      </c>
      <c r="B387" s="6">
        <f t="shared" si="261"/>
        <v>359</v>
      </c>
      <c r="C387" s="30" t="s">
        <v>255</v>
      </c>
      <c r="D387" s="4">
        <f t="shared" si="251"/>
        <v>2061322.4999999998</v>
      </c>
      <c r="E387" s="1">
        <f t="shared" si="262"/>
        <v>1961322.4999999998</v>
      </c>
      <c r="F387" s="1">
        <f>804*499.7</f>
        <v>401758.8</v>
      </c>
      <c r="G387" s="1">
        <f>1693*499.7</f>
        <v>845992.1</v>
      </c>
      <c r="H387" s="1">
        <f>390*499.7</f>
        <v>194883</v>
      </c>
      <c r="I387" s="1">
        <f>571*499.7</f>
        <v>285328.7</v>
      </c>
      <c r="J387" s="1">
        <f>467*499.7</f>
        <v>233359.9</v>
      </c>
      <c r="K387" s="1">
        <v>0</v>
      </c>
      <c r="L387" s="2">
        <v>0</v>
      </c>
      <c r="M387" s="1">
        <f t="shared" si="263"/>
        <v>0</v>
      </c>
      <c r="N387" s="1">
        <v>0</v>
      </c>
      <c r="O387" s="1">
        <v>0</v>
      </c>
      <c r="P387" s="1">
        <v>0</v>
      </c>
      <c r="Q387" s="1">
        <f t="shared" si="264"/>
        <v>0</v>
      </c>
      <c r="R387" s="1">
        <v>0</v>
      </c>
      <c r="S387" s="1">
        <f t="shared" si="265"/>
        <v>0</v>
      </c>
      <c r="T387" s="1">
        <v>0</v>
      </c>
      <c r="U387" s="1">
        <v>50000</v>
      </c>
      <c r="V387" s="1">
        <v>0</v>
      </c>
      <c r="W387" s="1">
        <v>50000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</row>
    <row r="388" spans="1:30" s="20" customFormat="1" ht="36" customHeight="1" x14ac:dyDescent="0.25">
      <c r="A388" s="2">
        <f t="shared" si="254"/>
        <v>360</v>
      </c>
      <c r="B388" s="6">
        <f t="shared" si="261"/>
        <v>360</v>
      </c>
      <c r="C388" s="30" t="s">
        <v>1677</v>
      </c>
      <c r="D388" s="4">
        <f t="shared" si="251"/>
        <v>768590</v>
      </c>
      <c r="E388" s="1">
        <f t="shared" si="262"/>
        <v>718590</v>
      </c>
      <c r="F388" s="1">
        <v>0</v>
      </c>
      <c r="G388" s="1">
        <f>1693*281.8</f>
        <v>477087.4</v>
      </c>
      <c r="H388" s="1">
        <f>390*281.8</f>
        <v>109902</v>
      </c>
      <c r="I388" s="1">
        <v>0</v>
      </c>
      <c r="J388" s="1">
        <f>467*281.8</f>
        <v>131600.6</v>
      </c>
      <c r="K388" s="1">
        <v>0</v>
      </c>
      <c r="L388" s="2">
        <v>0</v>
      </c>
      <c r="M388" s="1">
        <f t="shared" si="263"/>
        <v>0</v>
      </c>
      <c r="N388" s="1">
        <v>0</v>
      </c>
      <c r="O388" s="1">
        <v>0</v>
      </c>
      <c r="P388" s="1">
        <v>0</v>
      </c>
      <c r="Q388" s="1">
        <f t="shared" si="264"/>
        <v>0</v>
      </c>
      <c r="R388" s="1">
        <v>0</v>
      </c>
      <c r="S388" s="1">
        <f t="shared" si="265"/>
        <v>0</v>
      </c>
      <c r="T388" s="1">
        <v>0</v>
      </c>
      <c r="U388" s="1">
        <v>50000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</row>
    <row r="389" spans="1:30" s="20" customFormat="1" ht="36" customHeight="1" x14ac:dyDescent="0.25">
      <c r="A389" s="2">
        <f t="shared" si="254"/>
        <v>361</v>
      </c>
      <c r="B389" s="6">
        <f t="shared" si="261"/>
        <v>361</v>
      </c>
      <c r="C389" s="30" t="s">
        <v>256</v>
      </c>
      <c r="D389" s="4">
        <f t="shared" si="251"/>
        <v>2788987</v>
      </c>
      <c r="E389" s="1">
        <f t="shared" si="262"/>
        <v>1106065.0000000002</v>
      </c>
      <c r="F389" s="1">
        <f>804*281.8</f>
        <v>226567.2</v>
      </c>
      <c r="G389" s="1">
        <f>1693*281.8</f>
        <v>477087.4</v>
      </c>
      <c r="H389" s="1">
        <f>390*281.8</f>
        <v>109902</v>
      </c>
      <c r="I389" s="1">
        <f>571*281.8</f>
        <v>160907.80000000002</v>
      </c>
      <c r="J389" s="1">
        <f>467*281.8</f>
        <v>131600.6</v>
      </c>
      <c r="K389" s="1">
        <v>0</v>
      </c>
      <c r="L389" s="2">
        <v>0</v>
      </c>
      <c r="M389" s="1">
        <f t="shared" si="263"/>
        <v>0</v>
      </c>
      <c r="N389" s="1">
        <v>0</v>
      </c>
      <c r="O389" s="1">
        <v>0</v>
      </c>
      <c r="P389" s="1">
        <v>0</v>
      </c>
      <c r="Q389" s="1">
        <f t="shared" si="264"/>
        <v>0</v>
      </c>
      <c r="R389" s="1">
        <v>422</v>
      </c>
      <c r="S389" s="1">
        <f t="shared" si="265"/>
        <v>1582922</v>
      </c>
      <c r="T389" s="1">
        <v>0</v>
      </c>
      <c r="U389" s="1">
        <v>50000</v>
      </c>
      <c r="V389" s="1">
        <v>0</v>
      </c>
      <c r="W389" s="1">
        <v>50000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</row>
    <row r="390" spans="1:30" s="20" customFormat="1" ht="36" customHeight="1" x14ac:dyDescent="0.25">
      <c r="A390" s="2">
        <f t="shared" si="254"/>
        <v>362</v>
      </c>
      <c r="B390" s="6">
        <f t="shared" si="261"/>
        <v>362</v>
      </c>
      <c r="C390" s="30" t="s">
        <v>257</v>
      </c>
      <c r="D390" s="4">
        <f t="shared" si="251"/>
        <v>2075452.5000000002</v>
      </c>
      <c r="E390" s="1">
        <f t="shared" si="262"/>
        <v>1975452.5000000002</v>
      </c>
      <c r="F390" s="1">
        <f>804*503.3</f>
        <v>404653.2</v>
      </c>
      <c r="G390" s="1">
        <f>1693*503.3</f>
        <v>852086.9</v>
      </c>
      <c r="H390" s="1">
        <f>390*503.3</f>
        <v>196287</v>
      </c>
      <c r="I390" s="1">
        <f>571*503.3</f>
        <v>287384.3</v>
      </c>
      <c r="J390" s="1">
        <f>467*503.3</f>
        <v>235041.1</v>
      </c>
      <c r="K390" s="1">
        <v>0</v>
      </c>
      <c r="L390" s="2">
        <v>0</v>
      </c>
      <c r="M390" s="1">
        <f t="shared" si="263"/>
        <v>0</v>
      </c>
      <c r="N390" s="1">
        <v>0</v>
      </c>
      <c r="O390" s="1">
        <v>0</v>
      </c>
      <c r="P390" s="1">
        <v>0</v>
      </c>
      <c r="Q390" s="1">
        <f t="shared" si="264"/>
        <v>0</v>
      </c>
      <c r="R390" s="1">
        <v>0</v>
      </c>
      <c r="S390" s="1">
        <f t="shared" si="265"/>
        <v>0</v>
      </c>
      <c r="T390" s="1">
        <v>0</v>
      </c>
      <c r="U390" s="1">
        <v>50000</v>
      </c>
      <c r="V390" s="1">
        <v>0</v>
      </c>
      <c r="W390" s="1">
        <v>50000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</row>
    <row r="391" spans="1:30" s="20" customFormat="1" ht="36" customHeight="1" x14ac:dyDescent="0.25">
      <c r="A391" s="2">
        <f t="shared" si="254"/>
        <v>363</v>
      </c>
      <c r="B391" s="6">
        <f t="shared" si="260"/>
        <v>363</v>
      </c>
      <c r="C391" s="30" t="s">
        <v>247</v>
      </c>
      <c r="D391" s="4">
        <f t="shared" si="251"/>
        <v>5257310</v>
      </c>
      <c r="E391" s="1">
        <f t="shared" si="258"/>
        <v>3394339.9999999995</v>
      </c>
      <c r="F391" s="1">
        <f>804*864.8</f>
        <v>695299.2</v>
      </c>
      <c r="G391" s="1">
        <f>1693*864.8</f>
        <v>1464106.4</v>
      </c>
      <c r="H391" s="1">
        <f>390*864.8</f>
        <v>337272</v>
      </c>
      <c r="I391" s="1">
        <f>571*864.8</f>
        <v>493800.8</v>
      </c>
      <c r="J391" s="1">
        <f>467*864.8</f>
        <v>403861.6</v>
      </c>
      <c r="K391" s="1">
        <v>0</v>
      </c>
      <c r="L391" s="2">
        <v>0</v>
      </c>
      <c r="M391" s="1">
        <f t="shared" si="255"/>
        <v>0</v>
      </c>
      <c r="N391" s="1">
        <v>0</v>
      </c>
      <c r="O391" s="1">
        <v>0</v>
      </c>
      <c r="P391" s="1">
        <v>0</v>
      </c>
      <c r="Q391" s="1">
        <f t="shared" si="256"/>
        <v>0</v>
      </c>
      <c r="R391" s="1">
        <v>470</v>
      </c>
      <c r="S391" s="1">
        <f t="shared" si="257"/>
        <v>1762970</v>
      </c>
      <c r="T391" s="1">
        <v>0</v>
      </c>
      <c r="U391" s="1">
        <v>50000</v>
      </c>
      <c r="V391" s="1">
        <v>0</v>
      </c>
      <c r="W391" s="1">
        <v>50000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</row>
    <row r="392" spans="1:30" s="20" customFormat="1" ht="36" customHeight="1" x14ac:dyDescent="0.25">
      <c r="A392" s="2">
        <f t="shared" si="254"/>
        <v>364</v>
      </c>
      <c r="B392" s="6">
        <f t="shared" si="260"/>
        <v>364</v>
      </c>
      <c r="C392" s="30" t="s">
        <v>248</v>
      </c>
      <c r="D392" s="4">
        <f t="shared" si="251"/>
        <v>2082517.5000000002</v>
      </c>
      <c r="E392" s="1">
        <f t="shared" si="258"/>
        <v>1982517.5000000002</v>
      </c>
      <c r="F392" s="1">
        <f>804*505.1</f>
        <v>406100.4</v>
      </c>
      <c r="G392" s="1">
        <f>1693*505.1</f>
        <v>855134.3</v>
      </c>
      <c r="H392" s="1">
        <f>390*505.1</f>
        <v>196989</v>
      </c>
      <c r="I392" s="1">
        <f>571*505.1</f>
        <v>288412.10000000003</v>
      </c>
      <c r="J392" s="1">
        <f>467*505.1</f>
        <v>235881.7</v>
      </c>
      <c r="K392" s="1">
        <v>0</v>
      </c>
      <c r="L392" s="2">
        <v>0</v>
      </c>
      <c r="M392" s="1">
        <f t="shared" si="255"/>
        <v>0</v>
      </c>
      <c r="N392" s="1">
        <v>0</v>
      </c>
      <c r="O392" s="1">
        <v>0</v>
      </c>
      <c r="P392" s="1">
        <v>0</v>
      </c>
      <c r="Q392" s="1">
        <f t="shared" si="256"/>
        <v>0</v>
      </c>
      <c r="R392" s="1">
        <v>0</v>
      </c>
      <c r="S392" s="1">
        <f t="shared" si="257"/>
        <v>0</v>
      </c>
      <c r="T392" s="1">
        <v>0</v>
      </c>
      <c r="U392" s="1">
        <v>50000</v>
      </c>
      <c r="V392" s="1">
        <v>0</v>
      </c>
      <c r="W392" s="1">
        <v>50000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</row>
    <row r="393" spans="1:30" s="20" customFormat="1" ht="36" customHeight="1" x14ac:dyDescent="0.25">
      <c r="A393" s="2">
        <f t="shared" si="254"/>
        <v>365</v>
      </c>
      <c r="B393" s="6">
        <f t="shared" si="260"/>
        <v>365</v>
      </c>
      <c r="C393" s="30" t="s">
        <v>249</v>
      </c>
      <c r="D393" s="4">
        <f t="shared" si="251"/>
        <v>6561142.5</v>
      </c>
      <c r="E393" s="1">
        <f t="shared" si="258"/>
        <v>4773192.5</v>
      </c>
      <c r="F393" s="1">
        <f>804*1216.1</f>
        <v>977744.39999999991</v>
      </c>
      <c r="G393" s="1">
        <f>1693*1216.1</f>
        <v>2058857.2999999998</v>
      </c>
      <c r="H393" s="1">
        <f>390*1216.1</f>
        <v>474278.99999999994</v>
      </c>
      <c r="I393" s="1">
        <f>571*1216.1</f>
        <v>694393.1</v>
      </c>
      <c r="J393" s="1">
        <f>467*1216.1</f>
        <v>567918.69999999995</v>
      </c>
      <c r="K393" s="1">
        <v>0</v>
      </c>
      <c r="L393" s="2">
        <v>0</v>
      </c>
      <c r="M393" s="1">
        <f t="shared" si="255"/>
        <v>0</v>
      </c>
      <c r="N393" s="1">
        <v>0</v>
      </c>
      <c r="O393" s="1">
        <v>0</v>
      </c>
      <c r="P393" s="1">
        <v>0</v>
      </c>
      <c r="Q393" s="1">
        <f t="shared" si="256"/>
        <v>0</v>
      </c>
      <c r="R393" s="1">
        <v>450</v>
      </c>
      <c r="S393" s="1">
        <f t="shared" si="257"/>
        <v>1687950</v>
      </c>
      <c r="T393" s="1">
        <v>0</v>
      </c>
      <c r="U393" s="1">
        <v>50000</v>
      </c>
      <c r="V393" s="1">
        <v>0</v>
      </c>
      <c r="W393" s="1">
        <v>50000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</row>
    <row r="394" spans="1:30" s="20" customFormat="1" ht="36" customHeight="1" x14ac:dyDescent="0.25">
      <c r="A394" s="2">
        <f t="shared" si="254"/>
        <v>366</v>
      </c>
      <c r="B394" s="6">
        <f t="shared" si="260"/>
        <v>366</v>
      </c>
      <c r="C394" s="30" t="s">
        <v>250</v>
      </c>
      <c r="D394" s="4">
        <f t="shared" si="251"/>
        <v>5972850</v>
      </c>
      <c r="E394" s="1">
        <f t="shared" si="258"/>
        <v>4372450</v>
      </c>
      <c r="F394" s="1">
        <f>804*1114</f>
        <v>895656</v>
      </c>
      <c r="G394" s="1">
        <f>1693*1114</f>
        <v>1886002</v>
      </c>
      <c r="H394" s="1">
        <f>390*1114</f>
        <v>434460</v>
      </c>
      <c r="I394" s="1">
        <f>571*1114</f>
        <v>636094</v>
      </c>
      <c r="J394" s="1">
        <f>467*1114</f>
        <v>520238</v>
      </c>
      <c r="K394" s="1">
        <v>0</v>
      </c>
      <c r="L394" s="2">
        <v>0</v>
      </c>
      <c r="M394" s="1">
        <f t="shared" si="255"/>
        <v>0</v>
      </c>
      <c r="N394" s="1">
        <v>0</v>
      </c>
      <c r="O394" s="1">
        <v>0</v>
      </c>
      <c r="P394" s="1">
        <v>0</v>
      </c>
      <c r="Q394" s="1">
        <f t="shared" si="256"/>
        <v>0</v>
      </c>
      <c r="R394" s="1">
        <v>400</v>
      </c>
      <c r="S394" s="1">
        <f t="shared" si="257"/>
        <v>1500400</v>
      </c>
      <c r="T394" s="1">
        <v>0</v>
      </c>
      <c r="U394" s="1">
        <v>50000</v>
      </c>
      <c r="V394" s="1">
        <v>0</v>
      </c>
      <c r="W394" s="1">
        <v>50000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</row>
    <row r="395" spans="1:30" s="20" customFormat="1" ht="36" customHeight="1" x14ac:dyDescent="0.25">
      <c r="A395" s="2">
        <f t="shared" si="254"/>
        <v>367</v>
      </c>
      <c r="B395" s="6">
        <f t="shared" ref="B395:B400" si="266">A395</f>
        <v>367</v>
      </c>
      <c r="C395" s="19" t="s">
        <v>2382</v>
      </c>
      <c r="D395" s="4">
        <f t="shared" si="251"/>
        <v>14200000</v>
      </c>
      <c r="E395" s="1">
        <f t="shared" ref="E395:E400" si="267">SUM(F395:K395)</f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2">
        <v>4</v>
      </c>
      <c r="M395" s="1">
        <f t="shared" ref="M395" si="268">L395*3500000</f>
        <v>14000000</v>
      </c>
      <c r="N395" s="1">
        <v>0</v>
      </c>
      <c r="O395" s="1">
        <v>0</v>
      </c>
      <c r="P395" s="1">
        <v>0</v>
      </c>
      <c r="Q395" s="1">
        <f t="shared" ref="Q395:Q400" si="269">P395*1400</f>
        <v>0</v>
      </c>
      <c r="R395" s="1">
        <v>0</v>
      </c>
      <c r="S395" s="1">
        <f t="shared" ref="S395:S400" si="270">R395*3751</f>
        <v>0</v>
      </c>
      <c r="T395" s="1">
        <v>0</v>
      </c>
      <c r="U395" s="1">
        <v>200000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</row>
    <row r="396" spans="1:30" s="20" customFormat="1" ht="36" customHeight="1" x14ac:dyDescent="0.25">
      <c r="A396" s="2">
        <f t="shared" si="254"/>
        <v>368</v>
      </c>
      <c r="B396" s="6">
        <f t="shared" si="266"/>
        <v>368</v>
      </c>
      <c r="C396" s="19" t="s">
        <v>2383</v>
      </c>
      <c r="D396" s="4">
        <f t="shared" si="251"/>
        <v>21200000</v>
      </c>
      <c r="E396" s="1">
        <f t="shared" si="267"/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2">
        <v>6</v>
      </c>
      <c r="M396" s="1">
        <f t="shared" si="255"/>
        <v>21000000</v>
      </c>
      <c r="N396" s="1">
        <v>0</v>
      </c>
      <c r="O396" s="1">
        <v>0</v>
      </c>
      <c r="P396" s="1">
        <v>0</v>
      </c>
      <c r="Q396" s="1">
        <f t="shared" si="269"/>
        <v>0</v>
      </c>
      <c r="R396" s="1">
        <v>0</v>
      </c>
      <c r="S396" s="1">
        <f t="shared" si="270"/>
        <v>0</v>
      </c>
      <c r="T396" s="1">
        <v>0</v>
      </c>
      <c r="U396" s="1">
        <v>200000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</row>
    <row r="397" spans="1:30" s="20" customFormat="1" ht="36" customHeight="1" x14ac:dyDescent="0.25">
      <c r="A397" s="2">
        <f t="shared" si="254"/>
        <v>369</v>
      </c>
      <c r="B397" s="6">
        <f t="shared" si="266"/>
        <v>369</v>
      </c>
      <c r="C397" s="19" t="s">
        <v>2248</v>
      </c>
      <c r="D397" s="4">
        <f t="shared" si="251"/>
        <v>17700000</v>
      </c>
      <c r="E397" s="1">
        <f t="shared" si="267"/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2">
        <v>5</v>
      </c>
      <c r="M397" s="1">
        <f t="shared" ref="M397:M398" si="271">L397*3500000</f>
        <v>17500000</v>
      </c>
      <c r="N397" s="1">
        <v>0</v>
      </c>
      <c r="O397" s="1">
        <v>0</v>
      </c>
      <c r="P397" s="1">
        <v>0</v>
      </c>
      <c r="Q397" s="1">
        <f t="shared" si="269"/>
        <v>0</v>
      </c>
      <c r="R397" s="1">
        <v>0</v>
      </c>
      <c r="S397" s="1">
        <f t="shared" si="270"/>
        <v>0</v>
      </c>
      <c r="T397" s="1">
        <v>0</v>
      </c>
      <c r="U397" s="1">
        <v>200000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</row>
    <row r="398" spans="1:30" s="20" customFormat="1" ht="36" customHeight="1" x14ac:dyDescent="0.25">
      <c r="A398" s="2">
        <f t="shared" si="254"/>
        <v>370</v>
      </c>
      <c r="B398" s="6">
        <f t="shared" si="266"/>
        <v>370</v>
      </c>
      <c r="C398" s="19" t="s">
        <v>2249</v>
      </c>
      <c r="D398" s="4">
        <f t="shared" si="251"/>
        <v>21200000</v>
      </c>
      <c r="E398" s="1">
        <f t="shared" si="267"/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2">
        <v>6</v>
      </c>
      <c r="M398" s="1">
        <f t="shared" si="271"/>
        <v>21000000</v>
      </c>
      <c r="N398" s="1">
        <v>0</v>
      </c>
      <c r="O398" s="1">
        <v>0</v>
      </c>
      <c r="P398" s="1">
        <v>0</v>
      </c>
      <c r="Q398" s="1">
        <f t="shared" si="269"/>
        <v>0</v>
      </c>
      <c r="R398" s="1">
        <v>0</v>
      </c>
      <c r="S398" s="1">
        <f t="shared" si="270"/>
        <v>0</v>
      </c>
      <c r="T398" s="1">
        <v>0</v>
      </c>
      <c r="U398" s="1">
        <v>200000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</row>
    <row r="399" spans="1:30" s="20" customFormat="1" ht="36" customHeight="1" x14ac:dyDescent="0.25">
      <c r="A399" s="2">
        <f t="shared" si="254"/>
        <v>371</v>
      </c>
      <c r="B399" s="6">
        <f t="shared" si="266"/>
        <v>371</v>
      </c>
      <c r="C399" s="19" t="s">
        <v>2246</v>
      </c>
      <c r="D399" s="4">
        <f t="shared" ref="D399:D416" si="272">E399+M399+O399+Q399+S399+T399+U399+V399+W399+X399+Z399+AA399+AB399+AC399+AD399</f>
        <v>14200000</v>
      </c>
      <c r="E399" s="1">
        <f t="shared" si="267"/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2">
        <v>4</v>
      </c>
      <c r="M399" s="1">
        <f t="shared" si="255"/>
        <v>14000000</v>
      </c>
      <c r="N399" s="1">
        <v>0</v>
      </c>
      <c r="O399" s="1">
        <v>0</v>
      </c>
      <c r="P399" s="1">
        <v>0</v>
      </c>
      <c r="Q399" s="1">
        <f t="shared" si="269"/>
        <v>0</v>
      </c>
      <c r="R399" s="1">
        <v>0</v>
      </c>
      <c r="S399" s="1">
        <f t="shared" si="270"/>
        <v>0</v>
      </c>
      <c r="T399" s="1">
        <v>0</v>
      </c>
      <c r="U399" s="1">
        <v>200000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</row>
    <row r="400" spans="1:30" s="20" customFormat="1" ht="36" customHeight="1" x14ac:dyDescent="0.25">
      <c r="A400" s="2">
        <f t="shared" si="254"/>
        <v>372</v>
      </c>
      <c r="B400" s="6">
        <f t="shared" si="266"/>
        <v>372</v>
      </c>
      <c r="C400" s="19" t="s">
        <v>2247</v>
      </c>
      <c r="D400" s="4">
        <f t="shared" si="272"/>
        <v>14200000</v>
      </c>
      <c r="E400" s="1">
        <f t="shared" si="267"/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2">
        <v>4</v>
      </c>
      <c r="M400" s="1">
        <f t="shared" ref="M400" si="273">L400*3500000</f>
        <v>14000000</v>
      </c>
      <c r="N400" s="1">
        <v>0</v>
      </c>
      <c r="O400" s="1">
        <v>0</v>
      </c>
      <c r="P400" s="1">
        <v>0</v>
      </c>
      <c r="Q400" s="1">
        <f t="shared" si="269"/>
        <v>0</v>
      </c>
      <c r="R400" s="1">
        <v>0</v>
      </c>
      <c r="S400" s="1">
        <f t="shared" si="270"/>
        <v>0</v>
      </c>
      <c r="T400" s="1">
        <v>0</v>
      </c>
      <c r="U400" s="1">
        <v>200000</v>
      </c>
      <c r="V400" s="1">
        <v>0</v>
      </c>
      <c r="W400" s="1">
        <v>0</v>
      </c>
      <c r="X400" s="1">
        <v>0</v>
      </c>
      <c r="Y400" s="1">
        <v>0</v>
      </c>
      <c r="Z400" s="1">
        <v>0</v>
      </c>
      <c r="AA400" s="1">
        <v>0</v>
      </c>
      <c r="AB400" s="1">
        <v>0</v>
      </c>
      <c r="AC400" s="1">
        <v>0</v>
      </c>
      <c r="AD400" s="1">
        <v>0</v>
      </c>
    </row>
    <row r="401" spans="1:30" s="20" customFormat="1" ht="36" customHeight="1" x14ac:dyDescent="0.25">
      <c r="A401" s="2">
        <f t="shared" si="254"/>
        <v>373</v>
      </c>
      <c r="B401" s="6">
        <f t="shared" ref="B401:B426" si="274">A401</f>
        <v>373</v>
      </c>
      <c r="C401" s="19" t="s">
        <v>258</v>
      </c>
      <c r="D401" s="4">
        <f t="shared" si="272"/>
        <v>5130600</v>
      </c>
      <c r="E401" s="1">
        <f t="shared" si="258"/>
        <v>1380815.0000000002</v>
      </c>
      <c r="F401" s="1">
        <f>804*351.8</f>
        <v>282847.2</v>
      </c>
      <c r="G401" s="1">
        <f>1693*351.8</f>
        <v>595597.4</v>
      </c>
      <c r="H401" s="1">
        <f>390*351.8</f>
        <v>137202</v>
      </c>
      <c r="I401" s="1">
        <f>571*351.8</f>
        <v>200877.80000000002</v>
      </c>
      <c r="J401" s="1">
        <f>467*351.8</f>
        <v>164290.6</v>
      </c>
      <c r="K401" s="1">
        <v>0</v>
      </c>
      <c r="L401" s="2">
        <v>0</v>
      </c>
      <c r="M401" s="1">
        <f t="shared" si="255"/>
        <v>0</v>
      </c>
      <c r="N401" s="1">
        <v>333</v>
      </c>
      <c r="O401" s="1">
        <f>N401*7750</f>
        <v>2580750</v>
      </c>
      <c r="P401" s="1">
        <v>0</v>
      </c>
      <c r="Q401" s="1">
        <f t="shared" si="256"/>
        <v>0</v>
      </c>
      <c r="R401" s="1">
        <v>285</v>
      </c>
      <c r="S401" s="1">
        <f t="shared" si="257"/>
        <v>1069035</v>
      </c>
      <c r="T401" s="1">
        <v>0</v>
      </c>
      <c r="U401" s="1">
        <v>50000</v>
      </c>
      <c r="V401" s="1">
        <v>0</v>
      </c>
      <c r="W401" s="1">
        <v>50000</v>
      </c>
      <c r="X401" s="1">
        <v>0</v>
      </c>
      <c r="Y401" s="1">
        <v>0</v>
      </c>
      <c r="Z401" s="1">
        <v>0</v>
      </c>
      <c r="AA401" s="1">
        <v>0</v>
      </c>
      <c r="AB401" s="1">
        <v>0</v>
      </c>
      <c r="AC401" s="1">
        <v>0</v>
      </c>
      <c r="AD401" s="1">
        <v>0</v>
      </c>
    </row>
    <row r="402" spans="1:30" s="20" customFormat="1" ht="36" customHeight="1" x14ac:dyDescent="0.25">
      <c r="A402" s="2">
        <f t="shared" si="254"/>
        <v>374</v>
      </c>
      <c r="B402" s="6">
        <f>A402</f>
        <v>374</v>
      </c>
      <c r="C402" s="19" t="s">
        <v>2251</v>
      </c>
      <c r="D402" s="4">
        <f t="shared" si="272"/>
        <v>7200000</v>
      </c>
      <c r="E402" s="1">
        <f>SUM(F402:K402)</f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2">
        <v>2</v>
      </c>
      <c r="M402" s="1">
        <f>L402*3500000</f>
        <v>7000000</v>
      </c>
      <c r="N402" s="1">
        <v>0</v>
      </c>
      <c r="O402" s="1">
        <v>0</v>
      </c>
      <c r="P402" s="1">
        <v>0</v>
      </c>
      <c r="Q402" s="1">
        <f>P402*1400</f>
        <v>0</v>
      </c>
      <c r="R402" s="1">
        <v>0</v>
      </c>
      <c r="S402" s="1">
        <f>R402*3751</f>
        <v>0</v>
      </c>
      <c r="T402" s="1">
        <v>0</v>
      </c>
      <c r="U402" s="1">
        <v>200000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  <c r="AB402" s="1">
        <v>0</v>
      </c>
      <c r="AC402" s="1">
        <v>0</v>
      </c>
      <c r="AD402" s="1">
        <v>0</v>
      </c>
    </row>
    <row r="403" spans="1:30" s="20" customFormat="1" ht="36" customHeight="1" x14ac:dyDescent="0.25">
      <c r="A403" s="2">
        <f t="shared" si="254"/>
        <v>375</v>
      </c>
      <c r="B403" s="6">
        <f>A403</f>
        <v>375</v>
      </c>
      <c r="C403" s="19" t="s">
        <v>2252</v>
      </c>
      <c r="D403" s="4">
        <f t="shared" si="272"/>
        <v>3700000</v>
      </c>
      <c r="E403" s="1">
        <f>SUM(F403:K403)</f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2">
        <v>1</v>
      </c>
      <c r="M403" s="1">
        <f>L403*3500000</f>
        <v>3500000</v>
      </c>
      <c r="N403" s="1">
        <v>0</v>
      </c>
      <c r="O403" s="1">
        <v>0</v>
      </c>
      <c r="P403" s="1">
        <v>0</v>
      </c>
      <c r="Q403" s="1">
        <f>P403*1400</f>
        <v>0</v>
      </c>
      <c r="R403" s="1">
        <v>0</v>
      </c>
      <c r="S403" s="1">
        <f>R403*3751</f>
        <v>0</v>
      </c>
      <c r="T403" s="1">
        <v>0</v>
      </c>
      <c r="U403" s="1">
        <v>200000</v>
      </c>
      <c r="V403" s="1">
        <v>0</v>
      </c>
      <c r="W403" s="1">
        <v>0</v>
      </c>
      <c r="X403" s="1">
        <v>0</v>
      </c>
      <c r="Y403" s="1">
        <v>0</v>
      </c>
      <c r="Z403" s="1">
        <v>0</v>
      </c>
      <c r="AA403" s="1">
        <v>0</v>
      </c>
      <c r="AB403" s="1">
        <v>0</v>
      </c>
      <c r="AC403" s="1">
        <v>0</v>
      </c>
      <c r="AD403" s="1">
        <v>0</v>
      </c>
    </row>
    <row r="404" spans="1:30" s="20" customFormat="1" ht="36" customHeight="1" x14ac:dyDescent="0.25">
      <c r="A404" s="2">
        <f t="shared" si="254"/>
        <v>376</v>
      </c>
      <c r="B404" s="6">
        <f t="shared" si="274"/>
        <v>376</v>
      </c>
      <c r="C404" s="19" t="s">
        <v>259</v>
      </c>
      <c r="D404" s="4">
        <f t="shared" si="272"/>
        <v>15532294.4</v>
      </c>
      <c r="E404" s="1">
        <f t="shared" si="258"/>
        <v>9505714.4000000004</v>
      </c>
      <c r="F404" s="1">
        <f>804*2470.3</f>
        <v>1986121.2000000002</v>
      </c>
      <c r="G404" s="1">
        <f>1693*2470.3</f>
        <v>4182217.9000000004</v>
      </c>
      <c r="H404" s="1">
        <f>390*2470.3</f>
        <v>963417.00000000012</v>
      </c>
      <c r="I404" s="1">
        <f>571*2470.3</f>
        <v>1410541.3</v>
      </c>
      <c r="J404" s="1">
        <f>390*2470.3</f>
        <v>963417.00000000012</v>
      </c>
      <c r="K404" s="1">
        <v>0</v>
      </c>
      <c r="L404" s="2">
        <v>0</v>
      </c>
      <c r="M404" s="1">
        <f t="shared" si="255"/>
        <v>0</v>
      </c>
      <c r="N404" s="1">
        <v>0</v>
      </c>
      <c r="O404" s="1">
        <v>0</v>
      </c>
      <c r="P404" s="1">
        <v>0</v>
      </c>
      <c r="Q404" s="1">
        <f t="shared" si="256"/>
        <v>0</v>
      </c>
      <c r="R404" s="1">
        <v>1580</v>
      </c>
      <c r="S404" s="1">
        <f t="shared" si="257"/>
        <v>5926580</v>
      </c>
      <c r="T404" s="1">
        <v>0</v>
      </c>
      <c r="U404" s="1">
        <v>50000</v>
      </c>
      <c r="V404" s="1">
        <v>0</v>
      </c>
      <c r="W404" s="1">
        <v>50000</v>
      </c>
      <c r="X404" s="1">
        <v>0</v>
      </c>
      <c r="Y404" s="1">
        <v>0</v>
      </c>
      <c r="Z404" s="1">
        <v>0</v>
      </c>
      <c r="AA404" s="1">
        <v>0</v>
      </c>
      <c r="AB404" s="1">
        <v>0</v>
      </c>
      <c r="AC404" s="1">
        <v>0</v>
      </c>
      <c r="AD404" s="1">
        <v>0</v>
      </c>
    </row>
    <row r="405" spans="1:30" s="20" customFormat="1" ht="36" customHeight="1" x14ac:dyDescent="0.25">
      <c r="A405" s="2">
        <f t="shared" si="254"/>
        <v>377</v>
      </c>
      <c r="B405" s="6">
        <f t="shared" si="274"/>
        <v>377</v>
      </c>
      <c r="C405" s="19" t="s">
        <v>260</v>
      </c>
      <c r="D405" s="4">
        <f t="shared" si="272"/>
        <v>4282916.25</v>
      </c>
      <c r="E405" s="1">
        <f t="shared" si="258"/>
        <v>2157376.2499999995</v>
      </c>
      <c r="F405" s="1">
        <f>804*549.65</f>
        <v>441918.6</v>
      </c>
      <c r="G405" s="1">
        <f>1693*549.65</f>
        <v>930557.45</v>
      </c>
      <c r="H405" s="1">
        <f>390*549.65</f>
        <v>214363.5</v>
      </c>
      <c r="I405" s="1">
        <f>571*549.65</f>
        <v>313850.14999999997</v>
      </c>
      <c r="J405" s="1">
        <f>467*549.65</f>
        <v>256686.55</v>
      </c>
      <c r="K405" s="1">
        <v>0</v>
      </c>
      <c r="L405" s="2">
        <v>0</v>
      </c>
      <c r="M405" s="1">
        <f t="shared" si="255"/>
        <v>0</v>
      </c>
      <c r="N405" s="1">
        <v>0</v>
      </c>
      <c r="O405" s="1">
        <v>0</v>
      </c>
      <c r="P405" s="1">
        <v>0</v>
      </c>
      <c r="Q405" s="1">
        <f t="shared" si="256"/>
        <v>0</v>
      </c>
      <c r="R405" s="1">
        <v>540</v>
      </c>
      <c r="S405" s="1">
        <f t="shared" si="257"/>
        <v>2025540</v>
      </c>
      <c r="T405" s="1">
        <v>0</v>
      </c>
      <c r="U405" s="1">
        <v>50000</v>
      </c>
      <c r="V405" s="1">
        <v>0</v>
      </c>
      <c r="W405" s="1">
        <v>50000</v>
      </c>
      <c r="X405" s="1">
        <v>0</v>
      </c>
      <c r="Y405" s="1">
        <v>0</v>
      </c>
      <c r="Z405" s="1">
        <v>0</v>
      </c>
      <c r="AA405" s="1">
        <v>0</v>
      </c>
      <c r="AB405" s="1">
        <v>0</v>
      </c>
      <c r="AC405" s="1">
        <v>0</v>
      </c>
      <c r="AD405" s="1">
        <v>0</v>
      </c>
    </row>
    <row r="406" spans="1:30" s="20" customFormat="1" ht="36" customHeight="1" x14ac:dyDescent="0.25">
      <c r="A406" s="2">
        <f t="shared" si="254"/>
        <v>378</v>
      </c>
      <c r="B406" s="6">
        <f t="shared" si="274"/>
        <v>378</v>
      </c>
      <c r="C406" s="19" t="s">
        <v>261</v>
      </c>
      <c r="D406" s="4">
        <f t="shared" si="272"/>
        <v>4439837.75</v>
      </c>
      <c r="E406" s="1">
        <f t="shared" si="258"/>
        <v>2314297.75</v>
      </c>
      <c r="F406" s="1">
        <f>804*589.63</f>
        <v>474062.52</v>
      </c>
      <c r="G406" s="1">
        <f>1693*589.63</f>
        <v>998243.59</v>
      </c>
      <c r="H406" s="1">
        <f>390*589.63</f>
        <v>229955.7</v>
      </c>
      <c r="I406" s="1">
        <f>571*589.63</f>
        <v>336678.73</v>
      </c>
      <c r="J406" s="1">
        <f>467*589.63</f>
        <v>275357.21000000002</v>
      </c>
      <c r="K406" s="1">
        <v>0</v>
      </c>
      <c r="L406" s="2">
        <v>0</v>
      </c>
      <c r="M406" s="1">
        <f t="shared" si="255"/>
        <v>0</v>
      </c>
      <c r="N406" s="1">
        <v>0</v>
      </c>
      <c r="O406" s="1">
        <v>0</v>
      </c>
      <c r="P406" s="1">
        <v>0</v>
      </c>
      <c r="Q406" s="1">
        <f t="shared" si="256"/>
        <v>0</v>
      </c>
      <c r="R406" s="1">
        <v>540</v>
      </c>
      <c r="S406" s="1">
        <f t="shared" si="257"/>
        <v>2025540</v>
      </c>
      <c r="T406" s="1">
        <v>0</v>
      </c>
      <c r="U406" s="1">
        <v>50000</v>
      </c>
      <c r="V406" s="1">
        <v>0</v>
      </c>
      <c r="W406" s="1">
        <v>50000</v>
      </c>
      <c r="X406" s="1">
        <v>0</v>
      </c>
      <c r="Y406" s="1">
        <v>0</v>
      </c>
      <c r="Z406" s="1">
        <v>0</v>
      </c>
      <c r="AA406" s="1">
        <v>0</v>
      </c>
      <c r="AB406" s="1">
        <v>0</v>
      </c>
      <c r="AC406" s="1">
        <v>0</v>
      </c>
      <c r="AD406" s="1">
        <v>0</v>
      </c>
    </row>
    <row r="407" spans="1:30" s="20" customFormat="1" ht="36" customHeight="1" x14ac:dyDescent="0.25">
      <c r="A407" s="2">
        <f t="shared" si="254"/>
        <v>379</v>
      </c>
      <c r="B407" s="2">
        <f t="shared" si="274"/>
        <v>379</v>
      </c>
      <c r="C407" s="19" t="s">
        <v>262</v>
      </c>
      <c r="D407" s="39">
        <f t="shared" si="272"/>
        <v>6442778</v>
      </c>
      <c r="E407" s="1">
        <f t="shared" si="258"/>
        <v>4467278</v>
      </c>
      <c r="F407" s="1">
        <f>804*1138.16</f>
        <v>915080.64</v>
      </c>
      <c r="G407" s="1">
        <f>1693*1138.16</f>
        <v>1926904.8800000001</v>
      </c>
      <c r="H407" s="1">
        <f>390*1138.16</f>
        <v>443882.4</v>
      </c>
      <c r="I407" s="1">
        <f>571*1138.16</f>
        <v>649889.3600000001</v>
      </c>
      <c r="J407" s="1">
        <f>467*1138.16</f>
        <v>531520.72000000009</v>
      </c>
      <c r="K407" s="1">
        <v>0</v>
      </c>
      <c r="L407" s="2">
        <v>0</v>
      </c>
      <c r="M407" s="1">
        <f t="shared" si="255"/>
        <v>0</v>
      </c>
      <c r="N407" s="1">
        <v>0</v>
      </c>
      <c r="O407" s="1">
        <v>0</v>
      </c>
      <c r="P407" s="1">
        <v>0</v>
      </c>
      <c r="Q407" s="1">
        <f t="shared" si="256"/>
        <v>0</v>
      </c>
      <c r="R407" s="1">
        <v>500</v>
      </c>
      <c r="S407" s="1">
        <f t="shared" si="257"/>
        <v>1875500</v>
      </c>
      <c r="T407" s="1">
        <v>0</v>
      </c>
      <c r="U407" s="1">
        <v>50000</v>
      </c>
      <c r="V407" s="1">
        <v>0</v>
      </c>
      <c r="W407" s="1">
        <v>50000</v>
      </c>
      <c r="X407" s="1">
        <v>0</v>
      </c>
      <c r="Y407" s="1">
        <v>0</v>
      </c>
      <c r="Z407" s="1">
        <v>0</v>
      </c>
      <c r="AA407" s="1">
        <v>0</v>
      </c>
      <c r="AB407" s="1">
        <v>0</v>
      </c>
      <c r="AC407" s="1">
        <v>0</v>
      </c>
      <c r="AD407" s="1">
        <v>0</v>
      </c>
    </row>
    <row r="408" spans="1:30" s="20" customFormat="1" ht="36" customHeight="1" x14ac:dyDescent="0.25">
      <c r="A408" s="2">
        <f t="shared" si="254"/>
        <v>380</v>
      </c>
      <c r="B408" s="2">
        <f t="shared" si="274"/>
        <v>380</v>
      </c>
      <c r="C408" s="19" t="s">
        <v>263</v>
      </c>
      <c r="D408" s="39">
        <f t="shared" si="272"/>
        <v>3219592.5</v>
      </c>
      <c r="E408" s="1">
        <f t="shared" si="258"/>
        <v>1994292.5000000002</v>
      </c>
      <c r="F408" s="1">
        <f>804*508.1</f>
        <v>408512.4</v>
      </c>
      <c r="G408" s="1">
        <f>1693*508.1</f>
        <v>860213.3</v>
      </c>
      <c r="H408" s="1">
        <f>390*508.1</f>
        <v>198159</v>
      </c>
      <c r="I408" s="1">
        <f>571*508.1</f>
        <v>290125.10000000003</v>
      </c>
      <c r="J408" s="1">
        <f>467*508.1</f>
        <v>237282.7</v>
      </c>
      <c r="K408" s="1">
        <v>0</v>
      </c>
      <c r="L408" s="2">
        <v>0</v>
      </c>
      <c r="M408" s="1">
        <f t="shared" si="255"/>
        <v>0</v>
      </c>
      <c r="N408" s="1">
        <v>0</v>
      </c>
      <c r="O408" s="1">
        <v>0</v>
      </c>
      <c r="P408" s="1">
        <v>0</v>
      </c>
      <c r="Q408" s="1">
        <f t="shared" si="256"/>
        <v>0</v>
      </c>
      <c r="R408" s="1">
        <v>300</v>
      </c>
      <c r="S408" s="1">
        <f t="shared" si="257"/>
        <v>1125300</v>
      </c>
      <c r="T408" s="1">
        <v>0</v>
      </c>
      <c r="U408" s="1">
        <v>50000</v>
      </c>
      <c r="V408" s="1">
        <v>0</v>
      </c>
      <c r="W408" s="1">
        <v>50000</v>
      </c>
      <c r="X408" s="1">
        <v>0</v>
      </c>
      <c r="Y408" s="1">
        <v>0</v>
      </c>
      <c r="Z408" s="1">
        <v>0</v>
      </c>
      <c r="AA408" s="1">
        <v>0</v>
      </c>
      <c r="AB408" s="1">
        <v>0</v>
      </c>
      <c r="AC408" s="1">
        <v>0</v>
      </c>
      <c r="AD408" s="1">
        <v>0</v>
      </c>
    </row>
    <row r="409" spans="1:30" s="20" customFormat="1" ht="36" customHeight="1" x14ac:dyDescent="0.25">
      <c r="A409" s="2">
        <f t="shared" si="254"/>
        <v>381</v>
      </c>
      <c r="B409" s="6">
        <f t="shared" si="274"/>
        <v>381</v>
      </c>
      <c r="C409" s="19" t="s">
        <v>264</v>
      </c>
      <c r="D409" s="4">
        <f t="shared" si="272"/>
        <v>3159932.5</v>
      </c>
      <c r="E409" s="1">
        <f t="shared" si="258"/>
        <v>1934632.4999999998</v>
      </c>
      <c r="F409" s="1">
        <f>804*492.9</f>
        <v>396291.6</v>
      </c>
      <c r="G409" s="1">
        <f>1693*492.9</f>
        <v>834479.7</v>
      </c>
      <c r="H409" s="1">
        <f>390*492.9</f>
        <v>192231</v>
      </c>
      <c r="I409" s="1">
        <f>571*492.9</f>
        <v>281445.89999999997</v>
      </c>
      <c r="J409" s="1">
        <f>467*492.9</f>
        <v>230184.3</v>
      </c>
      <c r="K409" s="1">
        <v>0</v>
      </c>
      <c r="L409" s="2">
        <v>0</v>
      </c>
      <c r="M409" s="1">
        <f t="shared" si="255"/>
        <v>0</v>
      </c>
      <c r="N409" s="1">
        <v>0</v>
      </c>
      <c r="O409" s="1">
        <v>0</v>
      </c>
      <c r="P409" s="1">
        <v>0</v>
      </c>
      <c r="Q409" s="1">
        <f t="shared" si="256"/>
        <v>0</v>
      </c>
      <c r="R409" s="1">
        <v>300</v>
      </c>
      <c r="S409" s="1">
        <f t="shared" si="257"/>
        <v>1125300</v>
      </c>
      <c r="T409" s="1">
        <v>0</v>
      </c>
      <c r="U409" s="1">
        <v>50000</v>
      </c>
      <c r="V409" s="1">
        <v>0</v>
      </c>
      <c r="W409" s="1">
        <v>50000</v>
      </c>
      <c r="X409" s="1">
        <v>0</v>
      </c>
      <c r="Y409" s="1">
        <v>0</v>
      </c>
      <c r="Z409" s="1">
        <v>0</v>
      </c>
      <c r="AA409" s="1">
        <v>0</v>
      </c>
      <c r="AB409" s="1">
        <v>0</v>
      </c>
      <c r="AC409" s="1">
        <v>0</v>
      </c>
      <c r="AD409" s="1">
        <v>0</v>
      </c>
    </row>
    <row r="410" spans="1:30" s="20" customFormat="1" ht="36" customHeight="1" x14ac:dyDescent="0.25">
      <c r="A410" s="2">
        <f t="shared" si="254"/>
        <v>382</v>
      </c>
      <c r="B410" s="6">
        <f t="shared" si="274"/>
        <v>382</v>
      </c>
      <c r="C410" s="19" t="s">
        <v>265</v>
      </c>
      <c r="D410" s="4">
        <f t="shared" si="272"/>
        <v>10990690</v>
      </c>
      <c r="E410" s="1">
        <f t="shared" si="258"/>
        <v>4216235.0000000009</v>
      </c>
      <c r="F410" s="1">
        <f>804*1074.2</f>
        <v>863656.8</v>
      </c>
      <c r="G410" s="1">
        <f>1693*1074.2</f>
        <v>1818620.6</v>
      </c>
      <c r="H410" s="1">
        <f>390*1074.2</f>
        <v>418938</v>
      </c>
      <c r="I410" s="1">
        <f>571*1074.2</f>
        <v>613368.20000000007</v>
      </c>
      <c r="J410" s="1">
        <f>467*1074.2</f>
        <v>501651.4</v>
      </c>
      <c r="K410" s="1">
        <v>0</v>
      </c>
      <c r="L410" s="2">
        <v>0</v>
      </c>
      <c r="M410" s="1">
        <f t="shared" si="255"/>
        <v>0</v>
      </c>
      <c r="N410" s="1">
        <v>628.9</v>
      </c>
      <c r="O410" s="1">
        <f>N410*7750</f>
        <v>4873975</v>
      </c>
      <c r="P410" s="1">
        <v>0</v>
      </c>
      <c r="Q410" s="1">
        <f t="shared" si="256"/>
        <v>0</v>
      </c>
      <c r="R410" s="1">
        <v>480</v>
      </c>
      <c r="S410" s="1">
        <f t="shared" si="257"/>
        <v>1800480</v>
      </c>
      <c r="T410" s="1">
        <v>0</v>
      </c>
      <c r="U410" s="1">
        <v>50000</v>
      </c>
      <c r="V410" s="1">
        <v>0</v>
      </c>
      <c r="W410" s="1">
        <v>50000</v>
      </c>
      <c r="X410" s="1">
        <v>0</v>
      </c>
      <c r="Y410" s="1">
        <v>0</v>
      </c>
      <c r="Z410" s="1">
        <v>0</v>
      </c>
      <c r="AA410" s="1">
        <v>0</v>
      </c>
      <c r="AB410" s="1">
        <v>0</v>
      </c>
      <c r="AC410" s="1">
        <v>0</v>
      </c>
      <c r="AD410" s="1">
        <v>0</v>
      </c>
    </row>
    <row r="411" spans="1:30" s="20" customFormat="1" ht="36" customHeight="1" x14ac:dyDescent="0.25">
      <c r="A411" s="2">
        <f t="shared" si="254"/>
        <v>383</v>
      </c>
      <c r="B411" s="6">
        <f t="shared" si="274"/>
        <v>383</v>
      </c>
      <c r="C411" s="30" t="s">
        <v>266</v>
      </c>
      <c r="D411" s="4">
        <f t="shared" si="272"/>
        <v>7391125.7500000009</v>
      </c>
      <c r="E411" s="1">
        <f t="shared" si="258"/>
        <v>4365345.7500000009</v>
      </c>
      <c r="F411" s="1">
        <f>804*1112.19</f>
        <v>894200.76</v>
      </c>
      <c r="G411" s="1">
        <f>1693*1112.19</f>
        <v>1882937.6700000002</v>
      </c>
      <c r="H411" s="1">
        <f>390*1112.19</f>
        <v>433754.10000000003</v>
      </c>
      <c r="I411" s="1">
        <f>571*1112.19</f>
        <v>635060.49</v>
      </c>
      <c r="J411" s="1">
        <f>467*1112.19</f>
        <v>519392.73000000004</v>
      </c>
      <c r="K411" s="1">
        <v>0</v>
      </c>
      <c r="L411" s="2">
        <v>0</v>
      </c>
      <c r="M411" s="1">
        <f t="shared" si="255"/>
        <v>0</v>
      </c>
      <c r="N411" s="1">
        <v>0</v>
      </c>
      <c r="O411" s="1">
        <v>0</v>
      </c>
      <c r="P411" s="1">
        <v>0</v>
      </c>
      <c r="Q411" s="1">
        <f t="shared" si="256"/>
        <v>0</v>
      </c>
      <c r="R411" s="1">
        <v>780</v>
      </c>
      <c r="S411" s="1">
        <f t="shared" si="257"/>
        <v>2925780</v>
      </c>
      <c r="T411" s="1">
        <v>0</v>
      </c>
      <c r="U411" s="1">
        <v>50000</v>
      </c>
      <c r="V411" s="1">
        <v>0</v>
      </c>
      <c r="W411" s="1">
        <v>50000</v>
      </c>
      <c r="X411" s="1">
        <v>0</v>
      </c>
      <c r="Y411" s="1">
        <v>0</v>
      </c>
      <c r="Z411" s="1">
        <v>0</v>
      </c>
      <c r="AA411" s="1">
        <v>0</v>
      </c>
      <c r="AB411" s="1">
        <v>0</v>
      </c>
      <c r="AC411" s="1">
        <v>0</v>
      </c>
      <c r="AD411" s="1">
        <v>0</v>
      </c>
    </row>
    <row r="412" spans="1:30" s="20" customFormat="1" ht="36" customHeight="1" x14ac:dyDescent="0.25">
      <c r="A412" s="2">
        <f t="shared" si="254"/>
        <v>384</v>
      </c>
      <c r="B412" s="6">
        <f t="shared" si="274"/>
        <v>384</v>
      </c>
      <c r="C412" s="19" t="s">
        <v>267</v>
      </c>
      <c r="D412" s="4">
        <f t="shared" si="272"/>
        <v>3862324.75</v>
      </c>
      <c r="E412" s="1">
        <f t="shared" si="258"/>
        <v>2449474.75</v>
      </c>
      <c r="F412" s="1">
        <f>804*624.07</f>
        <v>501752.28</v>
      </c>
      <c r="G412" s="1">
        <f>1693*624.07</f>
        <v>1056550.51</v>
      </c>
      <c r="H412" s="1">
        <f>390*624.07</f>
        <v>243387.30000000002</v>
      </c>
      <c r="I412" s="1">
        <f>571*624.07</f>
        <v>356343.97000000003</v>
      </c>
      <c r="J412" s="1">
        <f>467*624.07</f>
        <v>291440.69</v>
      </c>
      <c r="K412" s="1">
        <v>0</v>
      </c>
      <c r="L412" s="2">
        <v>0</v>
      </c>
      <c r="M412" s="1">
        <f t="shared" si="255"/>
        <v>0</v>
      </c>
      <c r="N412" s="1">
        <v>0</v>
      </c>
      <c r="O412" s="1">
        <v>0</v>
      </c>
      <c r="P412" s="1">
        <v>0</v>
      </c>
      <c r="Q412" s="1">
        <f t="shared" si="256"/>
        <v>0</v>
      </c>
      <c r="R412" s="1">
        <v>350</v>
      </c>
      <c r="S412" s="1">
        <f t="shared" si="257"/>
        <v>1312850</v>
      </c>
      <c r="T412" s="1">
        <v>0</v>
      </c>
      <c r="U412" s="1">
        <v>50000</v>
      </c>
      <c r="V412" s="1">
        <v>0</v>
      </c>
      <c r="W412" s="1">
        <v>50000</v>
      </c>
      <c r="X412" s="1">
        <v>0</v>
      </c>
      <c r="Y412" s="1">
        <v>0</v>
      </c>
      <c r="Z412" s="1">
        <v>0</v>
      </c>
      <c r="AA412" s="1">
        <v>0</v>
      </c>
      <c r="AB412" s="1">
        <v>0</v>
      </c>
      <c r="AC412" s="1">
        <v>0</v>
      </c>
      <c r="AD412" s="1">
        <v>0</v>
      </c>
    </row>
    <row r="413" spans="1:30" s="20" customFormat="1" ht="36" customHeight="1" x14ac:dyDescent="0.25">
      <c r="A413" s="2">
        <f t="shared" si="254"/>
        <v>385</v>
      </c>
      <c r="B413" s="6">
        <f t="shared" si="274"/>
        <v>385</v>
      </c>
      <c r="C413" s="30" t="s">
        <v>268</v>
      </c>
      <c r="D413" s="4">
        <f t="shared" si="272"/>
        <v>16593755.5</v>
      </c>
      <c r="E413" s="1">
        <f t="shared" si="258"/>
        <v>9366855.5</v>
      </c>
      <c r="F413" s="1">
        <f>804*2386.46</f>
        <v>1918713.84</v>
      </c>
      <c r="G413" s="1">
        <f>1693*2386.46</f>
        <v>4040276.7800000003</v>
      </c>
      <c r="H413" s="1">
        <f>390*2386.46</f>
        <v>930719.4</v>
      </c>
      <c r="I413" s="1">
        <f>571*2386.46</f>
        <v>1362668.66</v>
      </c>
      <c r="J413" s="1">
        <f>467*2386.46</f>
        <v>1114476.82</v>
      </c>
      <c r="K413" s="1">
        <v>0</v>
      </c>
      <c r="L413" s="2">
        <v>0</v>
      </c>
      <c r="M413" s="1">
        <f t="shared" si="255"/>
        <v>0</v>
      </c>
      <c r="N413" s="1">
        <v>0</v>
      </c>
      <c r="O413" s="1">
        <v>0</v>
      </c>
      <c r="P413" s="1">
        <v>0</v>
      </c>
      <c r="Q413" s="1">
        <f t="shared" si="256"/>
        <v>0</v>
      </c>
      <c r="R413" s="1">
        <v>1900</v>
      </c>
      <c r="S413" s="1">
        <f t="shared" si="257"/>
        <v>7126900</v>
      </c>
      <c r="T413" s="1">
        <v>0</v>
      </c>
      <c r="U413" s="1">
        <v>50000</v>
      </c>
      <c r="V413" s="1">
        <v>0</v>
      </c>
      <c r="W413" s="1">
        <v>50000</v>
      </c>
      <c r="X413" s="1">
        <v>0</v>
      </c>
      <c r="Y413" s="1">
        <v>0</v>
      </c>
      <c r="Z413" s="1">
        <v>0</v>
      </c>
      <c r="AA413" s="1">
        <v>0</v>
      </c>
      <c r="AB413" s="1">
        <v>0</v>
      </c>
      <c r="AC413" s="1">
        <v>0</v>
      </c>
      <c r="AD413" s="1">
        <v>0</v>
      </c>
    </row>
    <row r="414" spans="1:30" s="20" customFormat="1" ht="36" customHeight="1" x14ac:dyDescent="0.25">
      <c r="A414" s="2">
        <f t="shared" si="254"/>
        <v>386</v>
      </c>
      <c r="B414" s="6">
        <f>A414</f>
        <v>386</v>
      </c>
      <c r="C414" s="19" t="s">
        <v>2250</v>
      </c>
      <c r="D414" s="4">
        <f t="shared" si="272"/>
        <v>3700000</v>
      </c>
      <c r="E414" s="1">
        <f>SUM(F414:K414)</f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2">
        <v>1</v>
      </c>
      <c r="M414" s="1">
        <f t="shared" ref="M414" si="275">L414*3500000</f>
        <v>3500000</v>
      </c>
      <c r="N414" s="1">
        <v>0</v>
      </c>
      <c r="O414" s="1">
        <v>0</v>
      </c>
      <c r="P414" s="1">
        <v>0</v>
      </c>
      <c r="Q414" s="1">
        <f>P414*1400</f>
        <v>0</v>
      </c>
      <c r="R414" s="1">
        <v>0</v>
      </c>
      <c r="S414" s="1">
        <f>R414*3751</f>
        <v>0</v>
      </c>
      <c r="T414" s="1">
        <v>0</v>
      </c>
      <c r="U414" s="1">
        <v>200000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1">
        <v>0</v>
      </c>
      <c r="AB414" s="1">
        <v>0</v>
      </c>
      <c r="AC414" s="1">
        <v>0</v>
      </c>
      <c r="AD414" s="1">
        <v>0</v>
      </c>
    </row>
    <row r="415" spans="1:30" s="20" customFormat="1" ht="36" customHeight="1" x14ac:dyDescent="0.25">
      <c r="A415" s="2">
        <f t="shared" si="254"/>
        <v>387</v>
      </c>
      <c r="B415" s="6">
        <f>A415</f>
        <v>387</v>
      </c>
      <c r="C415" s="19" t="s">
        <v>2253</v>
      </c>
      <c r="D415" s="4">
        <f t="shared" si="272"/>
        <v>7200000</v>
      </c>
      <c r="E415" s="1">
        <f>SUM(F415:K415)</f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2">
        <v>2</v>
      </c>
      <c r="M415" s="1">
        <f t="shared" ref="M415" si="276">L415*3500000</f>
        <v>7000000</v>
      </c>
      <c r="N415" s="1">
        <v>0</v>
      </c>
      <c r="O415" s="1">
        <v>0</v>
      </c>
      <c r="P415" s="1">
        <v>0</v>
      </c>
      <c r="Q415" s="1">
        <f>P415*1400</f>
        <v>0</v>
      </c>
      <c r="R415" s="1">
        <v>0</v>
      </c>
      <c r="S415" s="1">
        <f>R415*3751</f>
        <v>0</v>
      </c>
      <c r="T415" s="1">
        <v>0</v>
      </c>
      <c r="U415" s="1">
        <v>200000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  <c r="AA415" s="1">
        <v>0</v>
      </c>
      <c r="AB415" s="1">
        <v>0</v>
      </c>
      <c r="AC415" s="1">
        <v>0</v>
      </c>
      <c r="AD415" s="1">
        <v>0</v>
      </c>
    </row>
    <row r="416" spans="1:30" s="20" customFormat="1" ht="36" customHeight="1" x14ac:dyDescent="0.25">
      <c r="A416" s="2">
        <f t="shared" si="254"/>
        <v>388</v>
      </c>
      <c r="B416" s="6">
        <f t="shared" si="274"/>
        <v>388</v>
      </c>
      <c r="C416" s="19" t="s">
        <v>269</v>
      </c>
      <c r="D416" s="4">
        <f t="shared" si="272"/>
        <v>4267583</v>
      </c>
      <c r="E416" s="1">
        <f t="shared" si="258"/>
        <v>2543400</v>
      </c>
      <c r="F416" s="1">
        <f>804*648</f>
        <v>520992</v>
      </c>
      <c r="G416" s="1">
        <f>1693*648</f>
        <v>1097064</v>
      </c>
      <c r="H416" s="1">
        <f>390*648</f>
        <v>252720</v>
      </c>
      <c r="I416" s="1">
        <f>571*648</f>
        <v>370008</v>
      </c>
      <c r="J416" s="1">
        <f>467*648</f>
        <v>302616</v>
      </c>
      <c r="K416" s="1">
        <v>0</v>
      </c>
      <c r="L416" s="2">
        <v>0</v>
      </c>
      <c r="M416" s="1">
        <f t="shared" si="255"/>
        <v>0</v>
      </c>
      <c r="N416" s="1">
        <v>0</v>
      </c>
      <c r="O416" s="1">
        <v>0</v>
      </c>
      <c r="P416" s="1">
        <v>0</v>
      </c>
      <c r="Q416" s="1">
        <f t="shared" si="256"/>
        <v>0</v>
      </c>
      <c r="R416" s="1">
        <v>433</v>
      </c>
      <c r="S416" s="1">
        <f t="shared" si="257"/>
        <v>1624183</v>
      </c>
      <c r="T416" s="1">
        <v>0</v>
      </c>
      <c r="U416" s="1">
        <v>50000</v>
      </c>
      <c r="V416" s="1">
        <v>0</v>
      </c>
      <c r="W416" s="1">
        <v>50000</v>
      </c>
      <c r="X416" s="1">
        <v>0</v>
      </c>
      <c r="Y416" s="1">
        <v>0</v>
      </c>
      <c r="Z416" s="1">
        <v>0</v>
      </c>
      <c r="AA416" s="1">
        <v>0</v>
      </c>
      <c r="AB416" s="1">
        <v>0</v>
      </c>
      <c r="AC416" s="1">
        <v>0</v>
      </c>
      <c r="AD416" s="1">
        <v>0</v>
      </c>
    </row>
    <row r="417" spans="1:30" s="20" customFormat="1" ht="36" customHeight="1" x14ac:dyDescent="0.25">
      <c r="A417" s="2">
        <f t="shared" si="254"/>
        <v>389</v>
      </c>
      <c r="B417" s="6">
        <f t="shared" si="274"/>
        <v>389</v>
      </c>
      <c r="C417" s="19" t="s">
        <v>821</v>
      </c>
      <c r="D417" s="4">
        <f>E417+M417+O417+Q417+S417+T417+U417+V417+X417+W417+Z417+AA417+AB417+AC417+AD417</f>
        <v>10510368.5</v>
      </c>
      <c r="E417" s="1">
        <f t="shared" si="258"/>
        <v>5058618.5</v>
      </c>
      <c r="F417" s="1">
        <f>804*1288.82</f>
        <v>1036211.2799999999</v>
      </c>
      <c r="G417" s="1">
        <f>1693*1288.82</f>
        <v>2181972.2599999998</v>
      </c>
      <c r="H417" s="1">
        <f>390*1288.82</f>
        <v>502639.8</v>
      </c>
      <c r="I417" s="1">
        <f>571*1288.82</f>
        <v>735916.22</v>
      </c>
      <c r="J417" s="1">
        <f>467*1288.82</f>
        <v>601878.93999999994</v>
      </c>
      <c r="K417" s="1">
        <v>0</v>
      </c>
      <c r="L417" s="2">
        <v>0</v>
      </c>
      <c r="M417" s="1">
        <v>0</v>
      </c>
      <c r="N417" s="1">
        <v>697</v>
      </c>
      <c r="O417" s="1">
        <f>N417*7750</f>
        <v>5401750</v>
      </c>
      <c r="P417" s="1">
        <v>0</v>
      </c>
      <c r="Q417" s="1">
        <f t="shared" si="256"/>
        <v>0</v>
      </c>
      <c r="R417" s="1">
        <v>0</v>
      </c>
      <c r="S417" s="1">
        <f t="shared" si="257"/>
        <v>0</v>
      </c>
      <c r="T417" s="1">
        <v>0</v>
      </c>
      <c r="U417" s="1">
        <v>50000</v>
      </c>
      <c r="V417" s="1">
        <v>0</v>
      </c>
      <c r="W417" s="1">
        <v>0</v>
      </c>
      <c r="X417" s="1">
        <v>0</v>
      </c>
      <c r="Y417" s="1">
        <v>0</v>
      </c>
      <c r="Z417" s="1">
        <v>0</v>
      </c>
      <c r="AA417" s="1">
        <v>0</v>
      </c>
      <c r="AB417" s="1">
        <v>0</v>
      </c>
      <c r="AC417" s="1">
        <v>0</v>
      </c>
      <c r="AD417" s="1">
        <v>0</v>
      </c>
    </row>
    <row r="418" spans="1:30" s="20" customFormat="1" ht="36" customHeight="1" x14ac:dyDescent="0.25">
      <c r="A418" s="2">
        <f t="shared" si="254"/>
        <v>390</v>
      </c>
      <c r="B418" s="6">
        <f t="shared" si="274"/>
        <v>390</v>
      </c>
      <c r="C418" s="19" t="s">
        <v>271</v>
      </c>
      <c r="D418" s="4">
        <f t="shared" ref="D418:D423" si="277">E418+M418+O418+Q418+S418+T418+U418+V418+W418+X418+Z418+AA418+AB418+AC418+AD418</f>
        <v>4791191</v>
      </c>
      <c r="E418" s="1">
        <f t="shared" si="258"/>
        <v>2515611</v>
      </c>
      <c r="F418" s="1">
        <f>804*640.92</f>
        <v>515299.68</v>
      </c>
      <c r="G418" s="1">
        <f>1693*640.92</f>
        <v>1085077.5599999998</v>
      </c>
      <c r="H418" s="1">
        <f>390*640.92</f>
        <v>249958.8</v>
      </c>
      <c r="I418" s="1">
        <f>571*640.92</f>
        <v>365965.31999999995</v>
      </c>
      <c r="J418" s="1">
        <f>467*640.92</f>
        <v>299309.63999999996</v>
      </c>
      <c r="K418" s="1">
        <v>0</v>
      </c>
      <c r="L418" s="2">
        <v>0</v>
      </c>
      <c r="M418" s="1">
        <f t="shared" si="255"/>
        <v>0</v>
      </c>
      <c r="N418" s="1">
        <v>0</v>
      </c>
      <c r="O418" s="1">
        <v>0</v>
      </c>
      <c r="P418" s="1">
        <v>0</v>
      </c>
      <c r="Q418" s="1">
        <f t="shared" si="256"/>
        <v>0</v>
      </c>
      <c r="R418" s="1">
        <v>580</v>
      </c>
      <c r="S418" s="1">
        <f t="shared" si="257"/>
        <v>2175580</v>
      </c>
      <c r="T418" s="1">
        <v>0</v>
      </c>
      <c r="U418" s="1">
        <v>50000</v>
      </c>
      <c r="V418" s="1">
        <v>0</v>
      </c>
      <c r="W418" s="1">
        <v>50000</v>
      </c>
      <c r="X418" s="1">
        <v>0</v>
      </c>
      <c r="Y418" s="1">
        <v>0</v>
      </c>
      <c r="Z418" s="1">
        <v>0</v>
      </c>
      <c r="AA418" s="1">
        <v>0</v>
      </c>
      <c r="AB418" s="1">
        <v>0</v>
      </c>
      <c r="AC418" s="1">
        <v>0</v>
      </c>
      <c r="AD418" s="1">
        <v>0</v>
      </c>
    </row>
    <row r="419" spans="1:30" s="20" customFormat="1" ht="36" customHeight="1" x14ac:dyDescent="0.25">
      <c r="A419" s="2">
        <f t="shared" si="254"/>
        <v>391</v>
      </c>
      <c r="B419" s="6">
        <f t="shared" si="274"/>
        <v>391</v>
      </c>
      <c r="C419" s="19" t="s">
        <v>272</v>
      </c>
      <c r="D419" s="4">
        <f t="shared" si="277"/>
        <v>4837400.5</v>
      </c>
      <c r="E419" s="1">
        <f t="shared" si="258"/>
        <v>2936920.5</v>
      </c>
      <c r="F419" s="1">
        <f>804*748.26</f>
        <v>601601.04</v>
      </c>
      <c r="G419" s="1">
        <f>1693*748.26</f>
        <v>1266804.18</v>
      </c>
      <c r="H419" s="1">
        <f>390*748.26</f>
        <v>291821.40000000002</v>
      </c>
      <c r="I419" s="1">
        <f>571*748.26</f>
        <v>427256.46</v>
      </c>
      <c r="J419" s="1">
        <f>467*748.26</f>
        <v>349437.42</v>
      </c>
      <c r="K419" s="1">
        <v>0</v>
      </c>
      <c r="L419" s="2">
        <v>0</v>
      </c>
      <c r="M419" s="1">
        <f t="shared" si="255"/>
        <v>0</v>
      </c>
      <c r="N419" s="1">
        <v>0</v>
      </c>
      <c r="O419" s="1">
        <v>0</v>
      </c>
      <c r="P419" s="1">
        <v>0</v>
      </c>
      <c r="Q419" s="1">
        <f t="shared" si="256"/>
        <v>0</v>
      </c>
      <c r="R419" s="1">
        <v>480</v>
      </c>
      <c r="S419" s="1">
        <f t="shared" si="257"/>
        <v>1800480</v>
      </c>
      <c r="T419" s="1">
        <v>0</v>
      </c>
      <c r="U419" s="1">
        <v>50000</v>
      </c>
      <c r="V419" s="1">
        <v>0</v>
      </c>
      <c r="W419" s="1">
        <v>50000</v>
      </c>
      <c r="X419" s="1">
        <v>0</v>
      </c>
      <c r="Y419" s="1">
        <v>0</v>
      </c>
      <c r="Z419" s="1">
        <v>0</v>
      </c>
      <c r="AA419" s="1">
        <v>0</v>
      </c>
      <c r="AB419" s="1">
        <v>0</v>
      </c>
      <c r="AC419" s="1">
        <v>0</v>
      </c>
      <c r="AD419" s="1">
        <v>0</v>
      </c>
    </row>
    <row r="420" spans="1:30" s="20" customFormat="1" ht="36" customHeight="1" x14ac:dyDescent="0.25">
      <c r="A420" s="2">
        <f t="shared" si="254"/>
        <v>392</v>
      </c>
      <c r="B420" s="6">
        <f>A420</f>
        <v>392</v>
      </c>
      <c r="C420" s="19" t="s">
        <v>270</v>
      </c>
      <c r="D420" s="4">
        <f t="shared" si="277"/>
        <v>4166499.75</v>
      </c>
      <c r="E420" s="1">
        <f>SUM(F420:K420)</f>
        <v>2491079.75</v>
      </c>
      <c r="F420" s="1">
        <f>804*634.67</f>
        <v>510274.68</v>
      </c>
      <c r="G420" s="1">
        <f>1693*634.67</f>
        <v>1074496.3099999998</v>
      </c>
      <c r="H420" s="1">
        <f>390*634.67</f>
        <v>247521.3</v>
      </c>
      <c r="I420" s="1">
        <f>571*634.67</f>
        <v>362396.56999999995</v>
      </c>
      <c r="J420" s="1">
        <f>467*634.67</f>
        <v>296390.88999999996</v>
      </c>
      <c r="K420" s="1">
        <v>0</v>
      </c>
      <c r="L420" s="2">
        <v>0</v>
      </c>
      <c r="M420" s="1">
        <f>L420*3500000</f>
        <v>0</v>
      </c>
      <c r="N420" s="1">
        <v>0</v>
      </c>
      <c r="O420" s="1">
        <v>0</v>
      </c>
      <c r="P420" s="1">
        <v>0</v>
      </c>
      <c r="Q420" s="1">
        <f>P420*1400</f>
        <v>0</v>
      </c>
      <c r="R420" s="1">
        <v>420</v>
      </c>
      <c r="S420" s="1">
        <f>R420*3751</f>
        <v>1575420</v>
      </c>
      <c r="T420" s="1">
        <v>0</v>
      </c>
      <c r="U420" s="1">
        <v>50000</v>
      </c>
      <c r="V420" s="1">
        <v>0</v>
      </c>
      <c r="W420" s="1">
        <v>50000</v>
      </c>
      <c r="X420" s="1">
        <v>0</v>
      </c>
      <c r="Y420" s="1">
        <v>0</v>
      </c>
      <c r="Z420" s="1">
        <v>0</v>
      </c>
      <c r="AA420" s="1">
        <v>0</v>
      </c>
      <c r="AB420" s="1">
        <v>0</v>
      </c>
      <c r="AC420" s="1">
        <v>0</v>
      </c>
      <c r="AD420" s="1">
        <v>0</v>
      </c>
    </row>
    <row r="421" spans="1:30" s="20" customFormat="1" ht="36" customHeight="1" x14ac:dyDescent="0.25">
      <c r="A421" s="2">
        <f t="shared" si="254"/>
        <v>393</v>
      </c>
      <c r="B421" s="6">
        <f t="shared" si="274"/>
        <v>393</v>
      </c>
      <c r="C421" s="19" t="s">
        <v>273</v>
      </c>
      <c r="D421" s="4">
        <f t="shared" si="277"/>
        <v>3101790</v>
      </c>
      <c r="E421" s="1">
        <f t="shared" si="258"/>
        <v>1951509.9999999998</v>
      </c>
      <c r="F421" s="1">
        <f>804*497.2</f>
        <v>399748.8</v>
      </c>
      <c r="G421" s="1">
        <f>1693*497.2</f>
        <v>841759.6</v>
      </c>
      <c r="H421" s="1">
        <f>390*497.2</f>
        <v>193908</v>
      </c>
      <c r="I421" s="1">
        <f>571*497.2</f>
        <v>283901.2</v>
      </c>
      <c r="J421" s="1">
        <f>467*497.2</f>
        <v>232192.4</v>
      </c>
      <c r="K421" s="1">
        <v>0</v>
      </c>
      <c r="L421" s="2">
        <v>0</v>
      </c>
      <c r="M421" s="1">
        <f t="shared" si="255"/>
        <v>0</v>
      </c>
      <c r="N421" s="1">
        <v>0</v>
      </c>
      <c r="O421" s="1">
        <v>0</v>
      </c>
      <c r="P421" s="1">
        <v>0</v>
      </c>
      <c r="Q421" s="1">
        <f t="shared" si="256"/>
        <v>0</v>
      </c>
      <c r="R421" s="1">
        <v>280</v>
      </c>
      <c r="S421" s="1">
        <f t="shared" si="257"/>
        <v>1050280</v>
      </c>
      <c r="T421" s="1">
        <v>0</v>
      </c>
      <c r="U421" s="1">
        <v>50000</v>
      </c>
      <c r="V421" s="1">
        <v>0</v>
      </c>
      <c r="W421" s="1">
        <v>50000</v>
      </c>
      <c r="X421" s="1">
        <v>0</v>
      </c>
      <c r="Y421" s="1">
        <v>0</v>
      </c>
      <c r="Z421" s="1">
        <v>0</v>
      </c>
      <c r="AA421" s="1">
        <v>0</v>
      </c>
      <c r="AB421" s="1">
        <v>0</v>
      </c>
      <c r="AC421" s="1">
        <v>0</v>
      </c>
      <c r="AD421" s="1">
        <v>0</v>
      </c>
    </row>
    <row r="422" spans="1:30" s="20" customFormat="1" ht="36" customHeight="1" x14ac:dyDescent="0.25">
      <c r="A422" s="2">
        <f t="shared" si="254"/>
        <v>394</v>
      </c>
      <c r="B422" s="6">
        <f t="shared" si="274"/>
        <v>394</v>
      </c>
      <c r="C422" s="19" t="s">
        <v>274</v>
      </c>
      <c r="D422" s="4">
        <f t="shared" si="277"/>
        <v>3146338.75</v>
      </c>
      <c r="E422" s="1">
        <f t="shared" si="258"/>
        <v>1996058.7500000002</v>
      </c>
      <c r="F422" s="1">
        <f>804*508.55</f>
        <v>408874.2</v>
      </c>
      <c r="G422" s="1">
        <f>1693*508.55</f>
        <v>860975.15</v>
      </c>
      <c r="H422" s="1">
        <f>390*508.55</f>
        <v>198334.5</v>
      </c>
      <c r="I422" s="1">
        <f>571*508.55</f>
        <v>290382.05</v>
      </c>
      <c r="J422" s="1">
        <f>467*508.55</f>
        <v>237492.85</v>
      </c>
      <c r="K422" s="1">
        <v>0</v>
      </c>
      <c r="L422" s="2">
        <v>0</v>
      </c>
      <c r="M422" s="1">
        <f t="shared" si="255"/>
        <v>0</v>
      </c>
      <c r="N422" s="1">
        <v>0</v>
      </c>
      <c r="O422" s="1">
        <v>0</v>
      </c>
      <c r="P422" s="1">
        <v>0</v>
      </c>
      <c r="Q422" s="1">
        <f t="shared" si="256"/>
        <v>0</v>
      </c>
      <c r="R422" s="1">
        <v>280</v>
      </c>
      <c r="S422" s="1">
        <f t="shared" si="257"/>
        <v>1050280</v>
      </c>
      <c r="T422" s="1">
        <v>0</v>
      </c>
      <c r="U422" s="1">
        <v>50000</v>
      </c>
      <c r="V422" s="1">
        <v>0</v>
      </c>
      <c r="W422" s="1">
        <v>50000</v>
      </c>
      <c r="X422" s="1">
        <v>0</v>
      </c>
      <c r="Y422" s="1">
        <v>0</v>
      </c>
      <c r="Z422" s="1">
        <v>0</v>
      </c>
      <c r="AA422" s="1">
        <v>0</v>
      </c>
      <c r="AB422" s="1">
        <v>0</v>
      </c>
      <c r="AC422" s="1">
        <v>0</v>
      </c>
      <c r="AD422" s="1">
        <v>0</v>
      </c>
    </row>
    <row r="423" spans="1:30" s="20" customFormat="1" ht="36" customHeight="1" x14ac:dyDescent="0.25">
      <c r="A423" s="2">
        <f t="shared" si="254"/>
        <v>395</v>
      </c>
      <c r="B423" s="6">
        <f>A423</f>
        <v>395</v>
      </c>
      <c r="C423" s="19" t="s">
        <v>2254</v>
      </c>
      <c r="D423" s="4">
        <f t="shared" si="277"/>
        <v>21200000</v>
      </c>
      <c r="E423" s="1">
        <f>SUM(F423:K423)</f>
        <v>0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2">
        <v>6</v>
      </c>
      <c r="M423" s="1">
        <f t="shared" si="255"/>
        <v>21000000</v>
      </c>
      <c r="N423" s="1">
        <v>0</v>
      </c>
      <c r="O423" s="1">
        <v>0</v>
      </c>
      <c r="P423" s="1">
        <v>0</v>
      </c>
      <c r="Q423" s="1">
        <f>P423*1400</f>
        <v>0</v>
      </c>
      <c r="R423" s="1">
        <v>0</v>
      </c>
      <c r="S423" s="1">
        <f>R423*3751</f>
        <v>0</v>
      </c>
      <c r="T423" s="1">
        <v>0</v>
      </c>
      <c r="U423" s="1">
        <v>200000</v>
      </c>
      <c r="V423" s="1">
        <v>0</v>
      </c>
      <c r="W423" s="1">
        <v>0</v>
      </c>
      <c r="X423" s="1">
        <v>0</v>
      </c>
      <c r="Y423" s="1">
        <v>0</v>
      </c>
      <c r="Z423" s="1">
        <v>0</v>
      </c>
      <c r="AA423" s="1">
        <v>0</v>
      </c>
      <c r="AB423" s="1">
        <v>0</v>
      </c>
      <c r="AC423" s="1">
        <v>0</v>
      </c>
      <c r="AD423" s="1">
        <v>0</v>
      </c>
    </row>
    <row r="424" spans="1:30" s="20" customFormat="1" ht="36" customHeight="1" x14ac:dyDescent="0.25">
      <c r="A424" s="2">
        <f t="shared" si="254"/>
        <v>396</v>
      </c>
      <c r="B424" s="6">
        <f t="shared" ref="B424" si="278">A424</f>
        <v>396</v>
      </c>
      <c r="C424" s="19" t="s">
        <v>2154</v>
      </c>
      <c r="D424" s="4">
        <f>E424+M424+O424+Q424+S424+T424+U424+V424+X424+W424+Z424+AA424+AB424+AC424+AD424</f>
        <v>5668488</v>
      </c>
      <c r="E424" s="1">
        <f t="shared" ref="E424" si="279">SUM(F424:K424)</f>
        <v>0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2">
        <v>0</v>
      </c>
      <c r="M424" s="1">
        <v>0</v>
      </c>
      <c r="N424" s="1">
        <v>1141</v>
      </c>
      <c r="O424" s="1">
        <f>N424*4968</f>
        <v>5668488</v>
      </c>
      <c r="P424" s="1">
        <v>0</v>
      </c>
      <c r="Q424" s="1">
        <f t="shared" ref="Q424" si="280">P424*1400</f>
        <v>0</v>
      </c>
      <c r="R424" s="1">
        <v>0</v>
      </c>
      <c r="S424" s="1">
        <f t="shared" ref="S424" si="281">R424*3751</f>
        <v>0</v>
      </c>
      <c r="T424" s="1">
        <v>0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>
        <v>0</v>
      </c>
      <c r="AA424" s="1">
        <v>0</v>
      </c>
      <c r="AB424" s="1">
        <v>0</v>
      </c>
      <c r="AC424" s="1">
        <v>0</v>
      </c>
      <c r="AD424" s="1">
        <v>0</v>
      </c>
    </row>
    <row r="425" spans="1:30" s="20" customFormat="1" ht="36" customHeight="1" x14ac:dyDescent="0.25">
      <c r="A425" s="2">
        <f t="shared" si="254"/>
        <v>397</v>
      </c>
      <c r="B425" s="6">
        <f>A425</f>
        <v>397</v>
      </c>
      <c r="C425" s="19" t="s">
        <v>2255</v>
      </c>
      <c r="D425" s="4">
        <f t="shared" ref="D425:D435" si="282">E425+M425+O425+Q425+S425+T425+U425+V425+W425+X425+Z425+AA425+AB425+AC425+AD425</f>
        <v>7200000</v>
      </c>
      <c r="E425" s="1">
        <f>SUM(F425:K425)</f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2">
        <v>2</v>
      </c>
      <c r="M425" s="1">
        <f t="shared" ref="M425" si="283">L425*3500000</f>
        <v>7000000</v>
      </c>
      <c r="N425" s="1">
        <v>0</v>
      </c>
      <c r="O425" s="1">
        <v>0</v>
      </c>
      <c r="P425" s="1">
        <v>0</v>
      </c>
      <c r="Q425" s="1">
        <f>P425*1400</f>
        <v>0</v>
      </c>
      <c r="R425" s="1">
        <v>0</v>
      </c>
      <c r="S425" s="1">
        <f>R425*3751</f>
        <v>0</v>
      </c>
      <c r="T425" s="1">
        <v>0</v>
      </c>
      <c r="U425" s="1">
        <v>200000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  <c r="AA425" s="1">
        <v>0</v>
      </c>
      <c r="AB425" s="1">
        <v>0</v>
      </c>
      <c r="AC425" s="1">
        <v>0</v>
      </c>
      <c r="AD425" s="1">
        <v>0</v>
      </c>
    </row>
    <row r="426" spans="1:30" s="20" customFormat="1" ht="36" customHeight="1" x14ac:dyDescent="0.25">
      <c r="A426" s="2">
        <f t="shared" si="254"/>
        <v>398</v>
      </c>
      <c r="B426" s="6">
        <f t="shared" si="274"/>
        <v>398</v>
      </c>
      <c r="C426" s="19" t="s">
        <v>276</v>
      </c>
      <c r="D426" s="4">
        <f t="shared" si="282"/>
        <v>4177045</v>
      </c>
      <c r="E426" s="1">
        <f t="shared" si="258"/>
        <v>2464115</v>
      </c>
      <c r="F426" s="1">
        <f>804*627.8</f>
        <v>504751.19999999995</v>
      </c>
      <c r="G426" s="1">
        <f>1693*627.8</f>
        <v>1062865.3999999999</v>
      </c>
      <c r="H426" s="1">
        <f>390*627.8</f>
        <v>244841.99999999997</v>
      </c>
      <c r="I426" s="1">
        <f>571*627.8</f>
        <v>358473.8</v>
      </c>
      <c r="J426" s="1">
        <f>467*627.8</f>
        <v>293182.59999999998</v>
      </c>
      <c r="K426" s="1">
        <v>0</v>
      </c>
      <c r="L426" s="2">
        <v>0</v>
      </c>
      <c r="M426" s="1">
        <f t="shared" si="255"/>
        <v>0</v>
      </c>
      <c r="N426" s="1">
        <v>0</v>
      </c>
      <c r="O426" s="1">
        <v>0</v>
      </c>
      <c r="P426" s="1">
        <v>0</v>
      </c>
      <c r="Q426" s="1">
        <f t="shared" si="256"/>
        <v>0</v>
      </c>
      <c r="R426" s="1">
        <v>430</v>
      </c>
      <c r="S426" s="1">
        <f t="shared" si="257"/>
        <v>1612930</v>
      </c>
      <c r="T426" s="1">
        <v>0</v>
      </c>
      <c r="U426" s="1">
        <v>50000</v>
      </c>
      <c r="V426" s="1">
        <v>0</v>
      </c>
      <c r="W426" s="1">
        <v>50000</v>
      </c>
      <c r="X426" s="1">
        <v>0</v>
      </c>
      <c r="Y426" s="1">
        <v>0</v>
      </c>
      <c r="Z426" s="1">
        <v>0</v>
      </c>
      <c r="AA426" s="1">
        <v>0</v>
      </c>
      <c r="AB426" s="1">
        <v>0</v>
      </c>
      <c r="AC426" s="1">
        <v>0</v>
      </c>
      <c r="AD426" s="1">
        <v>0</v>
      </c>
    </row>
    <row r="427" spans="1:30" s="20" customFormat="1" ht="36" customHeight="1" x14ac:dyDescent="0.25">
      <c r="A427" s="2">
        <f t="shared" si="254"/>
        <v>399</v>
      </c>
      <c r="B427" s="6">
        <f t="shared" ref="B427:B497" si="284">A427</f>
        <v>399</v>
      </c>
      <c r="C427" s="19" t="s">
        <v>277</v>
      </c>
      <c r="D427" s="4">
        <f t="shared" si="282"/>
        <v>4399135</v>
      </c>
      <c r="E427" s="1">
        <f t="shared" si="258"/>
        <v>2498655.0000000005</v>
      </c>
      <c r="F427" s="1">
        <f>804*636.6</f>
        <v>511826.4</v>
      </c>
      <c r="G427" s="1">
        <f>1693*636.6</f>
        <v>1077763.8</v>
      </c>
      <c r="H427" s="1">
        <f>390*636.6</f>
        <v>248274</v>
      </c>
      <c r="I427" s="1">
        <f>571*636.6</f>
        <v>363498.60000000003</v>
      </c>
      <c r="J427" s="1">
        <f>467*636.6</f>
        <v>297292.2</v>
      </c>
      <c r="K427" s="1">
        <v>0</v>
      </c>
      <c r="L427" s="2">
        <v>0</v>
      </c>
      <c r="M427" s="1">
        <f t="shared" si="255"/>
        <v>0</v>
      </c>
      <c r="N427" s="1">
        <v>0</v>
      </c>
      <c r="O427" s="1">
        <v>0</v>
      </c>
      <c r="P427" s="1">
        <v>0</v>
      </c>
      <c r="Q427" s="1">
        <f t="shared" si="256"/>
        <v>0</v>
      </c>
      <c r="R427" s="1">
        <v>480</v>
      </c>
      <c r="S427" s="1">
        <f t="shared" si="257"/>
        <v>1800480</v>
      </c>
      <c r="T427" s="1">
        <v>0</v>
      </c>
      <c r="U427" s="1">
        <v>50000</v>
      </c>
      <c r="V427" s="1">
        <v>0</v>
      </c>
      <c r="W427" s="1">
        <v>50000</v>
      </c>
      <c r="X427" s="1">
        <v>0</v>
      </c>
      <c r="Y427" s="1">
        <v>0</v>
      </c>
      <c r="Z427" s="1">
        <v>0</v>
      </c>
      <c r="AA427" s="1">
        <v>0</v>
      </c>
      <c r="AB427" s="1">
        <v>0</v>
      </c>
      <c r="AC427" s="1">
        <v>0</v>
      </c>
      <c r="AD427" s="1">
        <v>0</v>
      </c>
    </row>
    <row r="428" spans="1:30" s="20" customFormat="1" ht="36" customHeight="1" x14ac:dyDescent="0.25">
      <c r="A428" s="2">
        <f t="shared" si="254"/>
        <v>400</v>
      </c>
      <c r="B428" s="6">
        <f>A428</f>
        <v>400</v>
      </c>
      <c r="C428" s="19" t="s">
        <v>1672</v>
      </c>
      <c r="D428" s="4">
        <f t="shared" si="282"/>
        <v>9140154.75</v>
      </c>
      <c r="E428" s="1">
        <f t="shared" si="258"/>
        <v>2504424.75</v>
      </c>
      <c r="F428" s="1">
        <f>804*638.07</f>
        <v>513008.28</v>
      </c>
      <c r="G428" s="1">
        <f>1693*638.07</f>
        <v>1080252.51</v>
      </c>
      <c r="H428" s="1">
        <f>390*638.07</f>
        <v>248847.30000000002</v>
      </c>
      <c r="I428" s="1">
        <f>571*638.07</f>
        <v>364337.97000000003</v>
      </c>
      <c r="J428" s="1">
        <f>467*638.07</f>
        <v>297978.69</v>
      </c>
      <c r="K428" s="1">
        <v>0</v>
      </c>
      <c r="L428" s="2">
        <v>0</v>
      </c>
      <c r="M428" s="1">
        <f t="shared" si="255"/>
        <v>0</v>
      </c>
      <c r="N428" s="1">
        <v>611</v>
      </c>
      <c r="O428" s="1">
        <f>N428*7750</f>
        <v>4735250</v>
      </c>
      <c r="P428" s="1">
        <v>0</v>
      </c>
      <c r="Q428" s="1">
        <f t="shared" si="256"/>
        <v>0</v>
      </c>
      <c r="R428" s="1">
        <v>480</v>
      </c>
      <c r="S428" s="1">
        <f t="shared" si="257"/>
        <v>1800480</v>
      </c>
      <c r="T428" s="1">
        <v>0</v>
      </c>
      <c r="U428" s="1">
        <v>50000</v>
      </c>
      <c r="V428" s="1">
        <v>0</v>
      </c>
      <c r="W428" s="1">
        <v>50000</v>
      </c>
      <c r="X428" s="1">
        <v>0</v>
      </c>
      <c r="Y428" s="1">
        <v>0</v>
      </c>
      <c r="Z428" s="1">
        <v>0</v>
      </c>
      <c r="AA428" s="1">
        <v>0</v>
      </c>
      <c r="AB428" s="1">
        <v>0</v>
      </c>
      <c r="AC428" s="1">
        <v>0</v>
      </c>
      <c r="AD428" s="1">
        <v>0</v>
      </c>
    </row>
    <row r="429" spans="1:30" s="20" customFormat="1" ht="36" customHeight="1" x14ac:dyDescent="0.25">
      <c r="A429" s="2">
        <f t="shared" si="254"/>
        <v>401</v>
      </c>
      <c r="B429" s="6">
        <f t="shared" si="284"/>
        <v>401</v>
      </c>
      <c r="C429" s="19" t="s">
        <v>2456</v>
      </c>
      <c r="D429" s="4">
        <f t="shared" si="282"/>
        <v>2464920</v>
      </c>
      <c r="E429" s="1">
        <f t="shared" si="258"/>
        <v>1089580</v>
      </c>
      <c r="F429" s="1">
        <f>804*277.6</f>
        <v>223190.40000000002</v>
      </c>
      <c r="G429" s="1">
        <f>1693*277.6</f>
        <v>469976.80000000005</v>
      </c>
      <c r="H429" s="1">
        <f>390*277.6</f>
        <v>108264.00000000001</v>
      </c>
      <c r="I429" s="1">
        <f>571*277.6</f>
        <v>158509.6</v>
      </c>
      <c r="J429" s="1">
        <f>467*277.6</f>
        <v>129639.20000000001</v>
      </c>
      <c r="K429" s="1">
        <v>0</v>
      </c>
      <c r="L429" s="2">
        <v>0</v>
      </c>
      <c r="M429" s="1">
        <f t="shared" si="255"/>
        <v>0</v>
      </c>
      <c r="N429" s="1">
        <v>0</v>
      </c>
      <c r="O429" s="1">
        <v>0</v>
      </c>
      <c r="P429" s="1">
        <v>0</v>
      </c>
      <c r="Q429" s="1">
        <f t="shared" si="256"/>
        <v>0</v>
      </c>
      <c r="R429" s="1">
        <v>340</v>
      </c>
      <c r="S429" s="1">
        <f t="shared" si="257"/>
        <v>1275340</v>
      </c>
      <c r="T429" s="1">
        <v>0</v>
      </c>
      <c r="U429" s="1">
        <v>50000</v>
      </c>
      <c r="V429" s="1">
        <v>0</v>
      </c>
      <c r="W429" s="1">
        <v>50000</v>
      </c>
      <c r="X429" s="1">
        <v>0</v>
      </c>
      <c r="Y429" s="1">
        <v>0</v>
      </c>
      <c r="Z429" s="1">
        <v>0</v>
      </c>
      <c r="AA429" s="1">
        <v>0</v>
      </c>
      <c r="AB429" s="1">
        <v>0</v>
      </c>
      <c r="AC429" s="1">
        <v>0</v>
      </c>
      <c r="AD429" s="1">
        <v>0</v>
      </c>
    </row>
    <row r="430" spans="1:30" s="20" customFormat="1" ht="36" customHeight="1" x14ac:dyDescent="0.25">
      <c r="A430" s="2">
        <f t="shared" si="254"/>
        <v>402</v>
      </c>
      <c r="B430" s="6">
        <f t="shared" si="284"/>
        <v>402</v>
      </c>
      <c r="C430" s="19" t="s">
        <v>278</v>
      </c>
      <c r="D430" s="4">
        <f t="shared" si="282"/>
        <v>4747700</v>
      </c>
      <c r="E430" s="1">
        <f t="shared" si="258"/>
        <v>3372360.0000000005</v>
      </c>
      <c r="F430" s="1">
        <f>804*859.2</f>
        <v>690796.8</v>
      </c>
      <c r="G430" s="1">
        <f>1693*859.2</f>
        <v>1454625.6</v>
      </c>
      <c r="H430" s="1">
        <f>390*859.2</f>
        <v>335088</v>
      </c>
      <c r="I430" s="1">
        <f>571*859.2</f>
        <v>490603.2</v>
      </c>
      <c r="J430" s="1">
        <f>467*859.2</f>
        <v>401246.4</v>
      </c>
      <c r="K430" s="1">
        <v>0</v>
      </c>
      <c r="L430" s="2">
        <v>0</v>
      </c>
      <c r="M430" s="1">
        <f t="shared" si="255"/>
        <v>0</v>
      </c>
      <c r="N430" s="1">
        <v>0</v>
      </c>
      <c r="O430" s="1">
        <v>0</v>
      </c>
      <c r="P430" s="1">
        <v>0</v>
      </c>
      <c r="Q430" s="1">
        <f t="shared" si="256"/>
        <v>0</v>
      </c>
      <c r="R430" s="1">
        <v>340</v>
      </c>
      <c r="S430" s="1">
        <f t="shared" si="257"/>
        <v>1275340</v>
      </c>
      <c r="T430" s="1">
        <v>0</v>
      </c>
      <c r="U430" s="1">
        <v>50000</v>
      </c>
      <c r="V430" s="1">
        <v>0</v>
      </c>
      <c r="W430" s="1">
        <v>50000</v>
      </c>
      <c r="X430" s="1">
        <v>0</v>
      </c>
      <c r="Y430" s="1">
        <v>0</v>
      </c>
      <c r="Z430" s="1">
        <v>0</v>
      </c>
      <c r="AA430" s="1">
        <v>0</v>
      </c>
      <c r="AB430" s="1">
        <v>0</v>
      </c>
      <c r="AC430" s="1">
        <v>0</v>
      </c>
      <c r="AD430" s="1">
        <v>0</v>
      </c>
    </row>
    <row r="431" spans="1:30" s="20" customFormat="1" ht="36" customHeight="1" x14ac:dyDescent="0.25">
      <c r="A431" s="2">
        <f t="shared" si="254"/>
        <v>403</v>
      </c>
      <c r="B431" s="6">
        <f t="shared" si="284"/>
        <v>403</v>
      </c>
      <c r="C431" s="19" t="s">
        <v>279</v>
      </c>
      <c r="D431" s="4">
        <f t="shared" si="282"/>
        <v>2529427.5</v>
      </c>
      <c r="E431" s="1">
        <f t="shared" si="258"/>
        <v>1097822.4999999998</v>
      </c>
      <c r="F431" s="1">
        <f>804*279.7</f>
        <v>224878.8</v>
      </c>
      <c r="G431" s="1">
        <f>1693*279.7</f>
        <v>473532.1</v>
      </c>
      <c r="H431" s="1">
        <f>390*279.7</f>
        <v>109083</v>
      </c>
      <c r="I431" s="1">
        <f>571*279.7</f>
        <v>159708.69999999998</v>
      </c>
      <c r="J431" s="1">
        <f>467*279.7</f>
        <v>130619.9</v>
      </c>
      <c r="K431" s="1">
        <v>0</v>
      </c>
      <c r="L431" s="2">
        <v>0</v>
      </c>
      <c r="M431" s="1">
        <f t="shared" si="255"/>
        <v>0</v>
      </c>
      <c r="N431" s="1">
        <v>0</v>
      </c>
      <c r="O431" s="1">
        <v>0</v>
      </c>
      <c r="P431" s="1">
        <v>0</v>
      </c>
      <c r="Q431" s="1">
        <f t="shared" si="256"/>
        <v>0</v>
      </c>
      <c r="R431" s="1">
        <v>355</v>
      </c>
      <c r="S431" s="1">
        <f t="shared" si="257"/>
        <v>1331605</v>
      </c>
      <c r="T431" s="1">
        <v>0</v>
      </c>
      <c r="U431" s="1">
        <v>50000</v>
      </c>
      <c r="V431" s="1">
        <v>0</v>
      </c>
      <c r="W431" s="1">
        <v>50000</v>
      </c>
      <c r="X431" s="1">
        <v>0</v>
      </c>
      <c r="Y431" s="1">
        <v>0</v>
      </c>
      <c r="Z431" s="1">
        <v>0</v>
      </c>
      <c r="AA431" s="1">
        <v>0</v>
      </c>
      <c r="AB431" s="1">
        <v>0</v>
      </c>
      <c r="AC431" s="1">
        <v>0</v>
      </c>
      <c r="AD431" s="1">
        <v>0</v>
      </c>
    </row>
    <row r="432" spans="1:30" s="20" customFormat="1" ht="36" customHeight="1" x14ac:dyDescent="0.25">
      <c r="A432" s="2">
        <f t="shared" si="254"/>
        <v>404</v>
      </c>
      <c r="B432" s="6">
        <f t="shared" si="284"/>
        <v>404</v>
      </c>
      <c r="C432" s="19" t="s">
        <v>280</v>
      </c>
      <c r="D432" s="4">
        <f t="shared" si="282"/>
        <v>2827605.2</v>
      </c>
      <c r="E432" s="1">
        <f t="shared" si="258"/>
        <v>1396000.2</v>
      </c>
      <c r="F432" s="1">
        <f>804*276.6</f>
        <v>222386.40000000002</v>
      </c>
      <c r="G432" s="1">
        <f>1693*276.6</f>
        <v>468283.80000000005</v>
      </c>
      <c r="H432" s="1">
        <f>390*276.6</f>
        <v>107874.00000000001</v>
      </c>
      <c r="I432" s="1">
        <f>1693*276.6</f>
        <v>468283.80000000005</v>
      </c>
      <c r="J432" s="1">
        <f>467*276.6</f>
        <v>129172.20000000001</v>
      </c>
      <c r="K432" s="1">
        <v>0</v>
      </c>
      <c r="L432" s="2">
        <v>0</v>
      </c>
      <c r="M432" s="1">
        <f t="shared" si="255"/>
        <v>0</v>
      </c>
      <c r="N432" s="1">
        <v>0</v>
      </c>
      <c r="O432" s="1">
        <v>0</v>
      </c>
      <c r="P432" s="1">
        <v>0</v>
      </c>
      <c r="Q432" s="1">
        <f t="shared" si="256"/>
        <v>0</v>
      </c>
      <c r="R432" s="1">
        <v>355</v>
      </c>
      <c r="S432" s="1">
        <f t="shared" si="257"/>
        <v>1331605</v>
      </c>
      <c r="T432" s="1">
        <v>0</v>
      </c>
      <c r="U432" s="1">
        <v>50000</v>
      </c>
      <c r="V432" s="1">
        <v>0</v>
      </c>
      <c r="W432" s="1">
        <v>50000</v>
      </c>
      <c r="X432" s="1">
        <v>0</v>
      </c>
      <c r="Y432" s="1">
        <v>0</v>
      </c>
      <c r="Z432" s="1">
        <v>0</v>
      </c>
      <c r="AA432" s="1">
        <v>0</v>
      </c>
      <c r="AB432" s="1">
        <v>0</v>
      </c>
      <c r="AC432" s="1">
        <v>0</v>
      </c>
      <c r="AD432" s="1">
        <v>0</v>
      </c>
    </row>
    <row r="433" spans="1:30" s="20" customFormat="1" ht="36" customHeight="1" x14ac:dyDescent="0.25">
      <c r="A433" s="2">
        <f t="shared" si="254"/>
        <v>405</v>
      </c>
      <c r="B433" s="6">
        <f t="shared" si="284"/>
        <v>405</v>
      </c>
      <c r="C433" s="19" t="s">
        <v>281</v>
      </c>
      <c r="D433" s="4">
        <f t="shared" si="282"/>
        <v>2871687.5</v>
      </c>
      <c r="E433" s="1">
        <f t="shared" si="258"/>
        <v>1440082.4999999998</v>
      </c>
      <c r="F433" s="1">
        <f>804*366.9</f>
        <v>294987.59999999998</v>
      </c>
      <c r="G433" s="1">
        <f>1693*366.9</f>
        <v>621161.69999999995</v>
      </c>
      <c r="H433" s="1">
        <f>390*366.9</f>
        <v>143091</v>
      </c>
      <c r="I433" s="1">
        <f>571*366.9</f>
        <v>209499.9</v>
      </c>
      <c r="J433" s="1">
        <f>467*366.9</f>
        <v>171342.3</v>
      </c>
      <c r="K433" s="1">
        <v>0</v>
      </c>
      <c r="L433" s="2">
        <v>0</v>
      </c>
      <c r="M433" s="1">
        <f t="shared" si="255"/>
        <v>0</v>
      </c>
      <c r="N433" s="1">
        <v>0</v>
      </c>
      <c r="O433" s="1">
        <v>0</v>
      </c>
      <c r="P433" s="1">
        <v>0</v>
      </c>
      <c r="Q433" s="1">
        <f t="shared" si="256"/>
        <v>0</v>
      </c>
      <c r="R433" s="1">
        <v>355</v>
      </c>
      <c r="S433" s="1">
        <f t="shared" si="257"/>
        <v>1331605</v>
      </c>
      <c r="T433" s="1">
        <v>0</v>
      </c>
      <c r="U433" s="1">
        <v>50000</v>
      </c>
      <c r="V433" s="1">
        <v>0</v>
      </c>
      <c r="W433" s="1">
        <v>50000</v>
      </c>
      <c r="X433" s="1">
        <v>0</v>
      </c>
      <c r="Y433" s="1">
        <v>0</v>
      </c>
      <c r="Z433" s="1">
        <v>0</v>
      </c>
      <c r="AA433" s="1">
        <v>0</v>
      </c>
      <c r="AB433" s="1">
        <v>0</v>
      </c>
      <c r="AC433" s="1">
        <v>0</v>
      </c>
      <c r="AD433" s="1">
        <v>0</v>
      </c>
    </row>
    <row r="434" spans="1:30" s="20" customFormat="1" ht="36" customHeight="1" x14ac:dyDescent="0.25">
      <c r="A434" s="2">
        <f t="shared" si="254"/>
        <v>406</v>
      </c>
      <c r="B434" s="6">
        <f t="shared" si="284"/>
        <v>406</v>
      </c>
      <c r="C434" s="19" t="s">
        <v>282</v>
      </c>
      <c r="D434" s="4">
        <f t="shared" si="282"/>
        <v>8116939.0000000009</v>
      </c>
      <c r="E434" s="1">
        <f t="shared" si="258"/>
        <v>5845110.0000000009</v>
      </c>
      <c r="F434" s="1">
        <f>804*1489.2</f>
        <v>1197316.8</v>
      </c>
      <c r="G434" s="1">
        <f>1693*1489.2</f>
        <v>2521215.6</v>
      </c>
      <c r="H434" s="1">
        <f>390*1489.2</f>
        <v>580788</v>
      </c>
      <c r="I434" s="1">
        <f>571*1489.2</f>
        <v>850333.20000000007</v>
      </c>
      <c r="J434" s="1">
        <f>467*1489.2</f>
        <v>695456.4</v>
      </c>
      <c r="K434" s="1">
        <v>0</v>
      </c>
      <c r="L434" s="2">
        <v>0</v>
      </c>
      <c r="M434" s="1">
        <f t="shared" si="255"/>
        <v>0</v>
      </c>
      <c r="N434" s="1">
        <v>0</v>
      </c>
      <c r="O434" s="1">
        <v>0</v>
      </c>
      <c r="P434" s="1">
        <v>0</v>
      </c>
      <c r="Q434" s="1">
        <f t="shared" si="256"/>
        <v>0</v>
      </c>
      <c r="R434" s="1">
        <v>579</v>
      </c>
      <c r="S434" s="1">
        <f t="shared" si="257"/>
        <v>2171829</v>
      </c>
      <c r="T434" s="1">
        <v>0</v>
      </c>
      <c r="U434" s="1">
        <v>50000</v>
      </c>
      <c r="V434" s="1">
        <v>0</v>
      </c>
      <c r="W434" s="1">
        <v>50000</v>
      </c>
      <c r="X434" s="1">
        <v>0</v>
      </c>
      <c r="Y434" s="1">
        <v>0</v>
      </c>
      <c r="Z434" s="1">
        <v>0</v>
      </c>
      <c r="AA434" s="1">
        <v>0</v>
      </c>
      <c r="AB434" s="1">
        <v>0</v>
      </c>
      <c r="AC434" s="1">
        <v>0</v>
      </c>
      <c r="AD434" s="1">
        <v>0</v>
      </c>
    </row>
    <row r="435" spans="1:30" s="20" customFormat="1" ht="36" customHeight="1" x14ac:dyDescent="0.25">
      <c r="A435" s="2">
        <f t="shared" si="254"/>
        <v>407</v>
      </c>
      <c r="B435" s="6">
        <f>A435</f>
        <v>407</v>
      </c>
      <c r="C435" s="19" t="s">
        <v>2265</v>
      </c>
      <c r="D435" s="4">
        <f t="shared" si="282"/>
        <v>21200000</v>
      </c>
      <c r="E435" s="1">
        <f>SUM(F435:K435)</f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2">
        <v>6</v>
      </c>
      <c r="M435" s="1">
        <f t="shared" si="255"/>
        <v>21000000</v>
      </c>
      <c r="N435" s="1">
        <v>0</v>
      </c>
      <c r="O435" s="1">
        <v>0</v>
      </c>
      <c r="P435" s="1">
        <v>0</v>
      </c>
      <c r="Q435" s="1">
        <f>P435*1400</f>
        <v>0</v>
      </c>
      <c r="R435" s="1">
        <v>0</v>
      </c>
      <c r="S435" s="1">
        <f>R435*3751</f>
        <v>0</v>
      </c>
      <c r="T435" s="1">
        <v>0</v>
      </c>
      <c r="U435" s="1">
        <v>200000</v>
      </c>
      <c r="V435" s="1">
        <v>0</v>
      </c>
      <c r="W435" s="1">
        <v>0</v>
      </c>
      <c r="X435" s="1">
        <v>0</v>
      </c>
      <c r="Y435" s="1">
        <v>0</v>
      </c>
      <c r="Z435" s="1">
        <v>0</v>
      </c>
      <c r="AA435" s="1">
        <v>0</v>
      </c>
      <c r="AB435" s="1">
        <v>0</v>
      </c>
      <c r="AC435" s="1">
        <v>0</v>
      </c>
      <c r="AD435" s="1">
        <v>0</v>
      </c>
    </row>
    <row r="436" spans="1:30" s="20" customFormat="1" ht="36" customHeight="1" x14ac:dyDescent="0.25">
      <c r="A436" s="2">
        <f t="shared" si="254"/>
        <v>408</v>
      </c>
      <c r="B436" s="6">
        <f t="shared" si="284"/>
        <v>408</v>
      </c>
      <c r="C436" s="19" t="s">
        <v>840</v>
      </c>
      <c r="D436" s="4">
        <f>E436+M436+O436+Q436+S436+T436+U436+V436+X436+W436+Z436+AA436+AB436+AC436+AD436</f>
        <v>14386481.5</v>
      </c>
      <c r="E436" s="1">
        <f t="shared" ref="E436" si="285">SUM(F436:K436)</f>
        <v>7104956.5</v>
      </c>
      <c r="F436" s="1">
        <f>804*1810.18</f>
        <v>1455384.72</v>
      </c>
      <c r="G436" s="1">
        <f>1693*1810.18</f>
        <v>3064634.74</v>
      </c>
      <c r="H436" s="1">
        <f>390*1810.18</f>
        <v>705970.20000000007</v>
      </c>
      <c r="I436" s="1">
        <f>571*1810.18</f>
        <v>1033612.78</v>
      </c>
      <c r="J436" s="1">
        <f>467*1810.18</f>
        <v>845354.06</v>
      </c>
      <c r="K436" s="1">
        <v>0</v>
      </c>
      <c r="L436" s="2">
        <v>0</v>
      </c>
      <c r="M436" s="1">
        <v>0</v>
      </c>
      <c r="N436" s="1">
        <v>558</v>
      </c>
      <c r="O436" s="1">
        <f>N436*7750</f>
        <v>4324500</v>
      </c>
      <c r="P436" s="1">
        <v>0</v>
      </c>
      <c r="Q436" s="1">
        <f t="shared" ref="Q436" si="286">P436*1400</f>
        <v>0</v>
      </c>
      <c r="R436" s="1">
        <v>775</v>
      </c>
      <c r="S436" s="1">
        <f t="shared" ref="S436" si="287">R436*3751</f>
        <v>2907025</v>
      </c>
      <c r="T436" s="1">
        <v>0</v>
      </c>
      <c r="U436" s="1">
        <v>50000</v>
      </c>
      <c r="V436" s="1">
        <v>0</v>
      </c>
      <c r="W436" s="1">
        <v>0</v>
      </c>
      <c r="X436" s="1">
        <v>0</v>
      </c>
      <c r="Y436" s="1">
        <v>0</v>
      </c>
      <c r="Z436" s="1">
        <v>0</v>
      </c>
      <c r="AA436" s="1">
        <v>0</v>
      </c>
      <c r="AB436" s="1">
        <v>0</v>
      </c>
      <c r="AC436" s="1">
        <v>0</v>
      </c>
      <c r="AD436" s="1">
        <v>0</v>
      </c>
    </row>
    <row r="437" spans="1:30" s="20" customFormat="1" ht="36" customHeight="1" x14ac:dyDescent="0.25">
      <c r="A437" s="2">
        <f t="shared" si="254"/>
        <v>409</v>
      </c>
      <c r="B437" s="6">
        <f t="shared" ref="B437:B444" si="288">A437</f>
        <v>409</v>
      </c>
      <c r="C437" s="19" t="s">
        <v>2256</v>
      </c>
      <c r="D437" s="4">
        <f t="shared" ref="D437:D446" si="289">E437+M437+O437+Q437+S437+T437+U437+V437+W437+X437+Z437+AA437+AB437+AC437+AD437</f>
        <v>24700000</v>
      </c>
      <c r="E437" s="1">
        <f t="shared" ref="E437:E444" si="290">SUM(F437:K437)</f>
        <v>0</v>
      </c>
      <c r="F437" s="1">
        <v>0</v>
      </c>
      <c r="G437" s="1">
        <v>0</v>
      </c>
      <c r="H437" s="1">
        <v>0</v>
      </c>
      <c r="I437" s="1">
        <v>0</v>
      </c>
      <c r="J437" s="1">
        <v>0</v>
      </c>
      <c r="K437" s="1">
        <v>0</v>
      </c>
      <c r="L437" s="2">
        <v>7</v>
      </c>
      <c r="M437" s="1">
        <f t="shared" ref="M437" si="291">L437*3500000</f>
        <v>24500000</v>
      </c>
      <c r="N437" s="1">
        <v>0</v>
      </c>
      <c r="O437" s="1">
        <v>0</v>
      </c>
      <c r="P437" s="1">
        <v>0</v>
      </c>
      <c r="Q437" s="1">
        <f t="shared" ref="Q437:Q444" si="292">P437*1400</f>
        <v>0</v>
      </c>
      <c r="R437" s="1">
        <v>0</v>
      </c>
      <c r="S437" s="1">
        <f t="shared" ref="S437:S444" si="293">R437*3751</f>
        <v>0</v>
      </c>
      <c r="T437" s="1">
        <v>0</v>
      </c>
      <c r="U437" s="1">
        <v>200000</v>
      </c>
      <c r="V437" s="1">
        <v>0</v>
      </c>
      <c r="W437" s="1">
        <v>0</v>
      </c>
      <c r="X437" s="1">
        <v>0</v>
      </c>
      <c r="Y437" s="1">
        <v>0</v>
      </c>
      <c r="Z437" s="1">
        <v>0</v>
      </c>
      <c r="AA437" s="1">
        <v>0</v>
      </c>
      <c r="AB437" s="1">
        <v>0</v>
      </c>
      <c r="AC437" s="1">
        <v>0</v>
      </c>
      <c r="AD437" s="1">
        <v>0</v>
      </c>
    </row>
    <row r="438" spans="1:30" s="20" customFormat="1" ht="36" customHeight="1" x14ac:dyDescent="0.25">
      <c r="A438" s="2">
        <f t="shared" si="254"/>
        <v>410</v>
      </c>
      <c r="B438" s="6">
        <f t="shared" si="288"/>
        <v>410</v>
      </c>
      <c r="C438" s="19" t="s">
        <v>2257</v>
      </c>
      <c r="D438" s="4">
        <f t="shared" si="289"/>
        <v>14200000</v>
      </c>
      <c r="E438" s="1">
        <f t="shared" si="290"/>
        <v>0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2">
        <v>4</v>
      </c>
      <c r="M438" s="1">
        <f t="shared" ref="M438" si="294">L438*3500000</f>
        <v>14000000</v>
      </c>
      <c r="N438" s="1">
        <v>0</v>
      </c>
      <c r="O438" s="1">
        <v>0</v>
      </c>
      <c r="P438" s="1">
        <v>0</v>
      </c>
      <c r="Q438" s="1">
        <f t="shared" si="292"/>
        <v>0</v>
      </c>
      <c r="R438" s="1">
        <v>0</v>
      </c>
      <c r="S438" s="1">
        <f t="shared" si="293"/>
        <v>0</v>
      </c>
      <c r="T438" s="1">
        <v>0</v>
      </c>
      <c r="U438" s="1">
        <v>200000</v>
      </c>
      <c r="V438" s="1">
        <v>0</v>
      </c>
      <c r="W438" s="1">
        <v>0</v>
      </c>
      <c r="X438" s="1">
        <v>0</v>
      </c>
      <c r="Y438" s="1">
        <v>0</v>
      </c>
      <c r="Z438" s="1">
        <v>0</v>
      </c>
      <c r="AA438" s="1">
        <v>0</v>
      </c>
      <c r="AB438" s="1">
        <v>0</v>
      </c>
      <c r="AC438" s="1">
        <v>0</v>
      </c>
      <c r="AD438" s="1">
        <v>0</v>
      </c>
    </row>
    <row r="439" spans="1:30" s="20" customFormat="1" ht="36" customHeight="1" x14ac:dyDescent="0.25">
      <c r="A439" s="2">
        <f t="shared" si="254"/>
        <v>411</v>
      </c>
      <c r="B439" s="6">
        <f t="shared" si="288"/>
        <v>411</v>
      </c>
      <c r="C439" s="19" t="s">
        <v>2258</v>
      </c>
      <c r="D439" s="4">
        <f t="shared" si="289"/>
        <v>14200000</v>
      </c>
      <c r="E439" s="1">
        <f t="shared" si="290"/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2">
        <v>4</v>
      </c>
      <c r="M439" s="1">
        <f t="shared" ref="M439" si="295">L439*3500000</f>
        <v>14000000</v>
      </c>
      <c r="N439" s="1">
        <v>0</v>
      </c>
      <c r="O439" s="1">
        <v>0</v>
      </c>
      <c r="P439" s="1">
        <v>0</v>
      </c>
      <c r="Q439" s="1">
        <f t="shared" si="292"/>
        <v>0</v>
      </c>
      <c r="R439" s="1">
        <v>0</v>
      </c>
      <c r="S439" s="1">
        <f t="shared" si="293"/>
        <v>0</v>
      </c>
      <c r="T439" s="1">
        <v>0</v>
      </c>
      <c r="U439" s="1">
        <v>200000</v>
      </c>
      <c r="V439" s="1">
        <v>0</v>
      </c>
      <c r="W439" s="1">
        <v>0</v>
      </c>
      <c r="X439" s="1">
        <v>0</v>
      </c>
      <c r="Y439" s="1">
        <v>0</v>
      </c>
      <c r="Z439" s="1">
        <v>0</v>
      </c>
      <c r="AA439" s="1">
        <v>0</v>
      </c>
      <c r="AB439" s="1">
        <v>0</v>
      </c>
      <c r="AC439" s="1">
        <v>0</v>
      </c>
      <c r="AD439" s="1">
        <v>0</v>
      </c>
    </row>
    <row r="440" spans="1:30" s="20" customFormat="1" ht="36" customHeight="1" x14ac:dyDescent="0.25">
      <c r="A440" s="2">
        <f t="shared" si="254"/>
        <v>412</v>
      </c>
      <c r="B440" s="6">
        <f t="shared" si="288"/>
        <v>412</v>
      </c>
      <c r="C440" s="19" t="s">
        <v>2259</v>
      </c>
      <c r="D440" s="4">
        <f t="shared" si="289"/>
        <v>31700000</v>
      </c>
      <c r="E440" s="1">
        <f t="shared" si="290"/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2">
        <v>9</v>
      </c>
      <c r="M440" s="1">
        <f t="shared" ref="M440" si="296">L440*3500000</f>
        <v>31500000</v>
      </c>
      <c r="N440" s="1">
        <v>0</v>
      </c>
      <c r="O440" s="1">
        <v>0</v>
      </c>
      <c r="P440" s="1">
        <v>0</v>
      </c>
      <c r="Q440" s="1">
        <f t="shared" si="292"/>
        <v>0</v>
      </c>
      <c r="R440" s="1">
        <v>0</v>
      </c>
      <c r="S440" s="1">
        <f t="shared" si="293"/>
        <v>0</v>
      </c>
      <c r="T440" s="1">
        <v>0</v>
      </c>
      <c r="U440" s="1">
        <v>200000</v>
      </c>
      <c r="V440" s="1">
        <v>0</v>
      </c>
      <c r="W440" s="1">
        <v>0</v>
      </c>
      <c r="X440" s="1">
        <v>0</v>
      </c>
      <c r="Y440" s="1">
        <v>0</v>
      </c>
      <c r="Z440" s="1">
        <v>0</v>
      </c>
      <c r="AA440" s="1">
        <v>0</v>
      </c>
      <c r="AB440" s="1">
        <v>0</v>
      </c>
      <c r="AC440" s="1">
        <v>0</v>
      </c>
      <c r="AD440" s="1">
        <v>0</v>
      </c>
    </row>
    <row r="441" spans="1:30" s="20" customFormat="1" ht="36" customHeight="1" x14ac:dyDescent="0.25">
      <c r="A441" s="2">
        <f t="shared" si="254"/>
        <v>413</v>
      </c>
      <c r="B441" s="6">
        <f t="shared" si="288"/>
        <v>413</v>
      </c>
      <c r="C441" s="19" t="s">
        <v>2260</v>
      </c>
      <c r="D441" s="4">
        <f t="shared" si="289"/>
        <v>17700000</v>
      </c>
      <c r="E441" s="1">
        <f t="shared" si="290"/>
        <v>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2">
        <v>5</v>
      </c>
      <c r="M441" s="1">
        <f t="shared" ref="M441" si="297">L441*3500000</f>
        <v>17500000</v>
      </c>
      <c r="N441" s="1">
        <v>0</v>
      </c>
      <c r="O441" s="1">
        <v>0</v>
      </c>
      <c r="P441" s="1">
        <v>0</v>
      </c>
      <c r="Q441" s="1">
        <f t="shared" si="292"/>
        <v>0</v>
      </c>
      <c r="R441" s="1">
        <v>0</v>
      </c>
      <c r="S441" s="1">
        <f t="shared" si="293"/>
        <v>0</v>
      </c>
      <c r="T441" s="1">
        <v>0</v>
      </c>
      <c r="U441" s="1">
        <v>200000</v>
      </c>
      <c r="V441" s="1">
        <v>0</v>
      </c>
      <c r="W441" s="1">
        <v>0</v>
      </c>
      <c r="X441" s="1">
        <v>0</v>
      </c>
      <c r="Y441" s="1">
        <v>0</v>
      </c>
      <c r="Z441" s="1">
        <v>0</v>
      </c>
      <c r="AA441" s="1">
        <v>0</v>
      </c>
      <c r="AB441" s="1">
        <v>0</v>
      </c>
      <c r="AC441" s="1">
        <v>0</v>
      </c>
      <c r="AD441" s="1">
        <v>0</v>
      </c>
    </row>
    <row r="442" spans="1:30" s="20" customFormat="1" ht="36" customHeight="1" x14ac:dyDescent="0.25">
      <c r="A442" s="2">
        <f t="shared" si="254"/>
        <v>414</v>
      </c>
      <c r="B442" s="6">
        <f t="shared" si="288"/>
        <v>414</v>
      </c>
      <c r="C442" s="19" t="s">
        <v>2261</v>
      </c>
      <c r="D442" s="4">
        <f t="shared" si="289"/>
        <v>7200000</v>
      </c>
      <c r="E442" s="1">
        <f t="shared" si="290"/>
        <v>0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v>0</v>
      </c>
      <c r="L442" s="2">
        <v>2</v>
      </c>
      <c r="M442" s="1">
        <f t="shared" ref="M442" si="298">L442*3500000</f>
        <v>7000000</v>
      </c>
      <c r="N442" s="1">
        <v>0</v>
      </c>
      <c r="O442" s="1">
        <v>0</v>
      </c>
      <c r="P442" s="1">
        <v>0</v>
      </c>
      <c r="Q442" s="1">
        <f t="shared" si="292"/>
        <v>0</v>
      </c>
      <c r="R442" s="1">
        <v>0</v>
      </c>
      <c r="S442" s="1">
        <f t="shared" si="293"/>
        <v>0</v>
      </c>
      <c r="T442" s="1">
        <v>0</v>
      </c>
      <c r="U442" s="1">
        <v>200000</v>
      </c>
      <c r="V442" s="1">
        <v>0</v>
      </c>
      <c r="W442" s="1">
        <v>0</v>
      </c>
      <c r="X442" s="1">
        <v>0</v>
      </c>
      <c r="Y442" s="1">
        <v>0</v>
      </c>
      <c r="Z442" s="1">
        <v>0</v>
      </c>
      <c r="AA442" s="1">
        <v>0</v>
      </c>
      <c r="AB442" s="1">
        <v>0</v>
      </c>
      <c r="AC442" s="1">
        <v>0</v>
      </c>
      <c r="AD442" s="1">
        <v>0</v>
      </c>
    </row>
    <row r="443" spans="1:30" s="20" customFormat="1" ht="36" customHeight="1" x14ac:dyDescent="0.25">
      <c r="A443" s="2">
        <f t="shared" si="254"/>
        <v>415</v>
      </c>
      <c r="B443" s="6">
        <f t="shared" si="288"/>
        <v>415</v>
      </c>
      <c r="C443" s="19" t="s">
        <v>2262</v>
      </c>
      <c r="D443" s="4">
        <f t="shared" si="289"/>
        <v>3700000</v>
      </c>
      <c r="E443" s="1">
        <f t="shared" si="290"/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2">
        <v>1</v>
      </c>
      <c r="M443" s="1">
        <f t="shared" ref="M443" si="299">L443*3500000</f>
        <v>3500000</v>
      </c>
      <c r="N443" s="1">
        <v>0</v>
      </c>
      <c r="O443" s="1">
        <v>0</v>
      </c>
      <c r="P443" s="1">
        <v>0</v>
      </c>
      <c r="Q443" s="1">
        <f t="shared" si="292"/>
        <v>0</v>
      </c>
      <c r="R443" s="1">
        <v>0</v>
      </c>
      <c r="S443" s="1">
        <f t="shared" si="293"/>
        <v>0</v>
      </c>
      <c r="T443" s="1">
        <v>0</v>
      </c>
      <c r="U443" s="1">
        <v>200000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0</v>
      </c>
      <c r="AD443" s="1">
        <v>0</v>
      </c>
    </row>
    <row r="444" spans="1:30" s="20" customFormat="1" ht="36" customHeight="1" x14ac:dyDescent="0.25">
      <c r="A444" s="2">
        <f t="shared" si="254"/>
        <v>416</v>
      </c>
      <c r="B444" s="6">
        <f t="shared" si="288"/>
        <v>416</v>
      </c>
      <c r="C444" s="19" t="s">
        <v>2263</v>
      </c>
      <c r="D444" s="4">
        <f t="shared" si="289"/>
        <v>21200000</v>
      </c>
      <c r="E444" s="1">
        <f t="shared" si="290"/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2">
        <v>6</v>
      </c>
      <c r="M444" s="1">
        <f t="shared" ref="M444" si="300">L444*3500000</f>
        <v>21000000</v>
      </c>
      <c r="N444" s="1">
        <v>0</v>
      </c>
      <c r="O444" s="1">
        <v>0</v>
      </c>
      <c r="P444" s="1">
        <v>0</v>
      </c>
      <c r="Q444" s="1">
        <f t="shared" si="292"/>
        <v>0</v>
      </c>
      <c r="R444" s="1">
        <v>0</v>
      </c>
      <c r="S444" s="1">
        <f t="shared" si="293"/>
        <v>0</v>
      </c>
      <c r="T444" s="1">
        <v>0</v>
      </c>
      <c r="U444" s="1">
        <v>200000</v>
      </c>
      <c r="V444" s="1">
        <v>0</v>
      </c>
      <c r="W444" s="1">
        <v>0</v>
      </c>
      <c r="X444" s="1">
        <v>0</v>
      </c>
      <c r="Y444" s="1">
        <v>0</v>
      </c>
      <c r="Z444" s="1">
        <v>0</v>
      </c>
      <c r="AA444" s="1">
        <v>0</v>
      </c>
      <c r="AB444" s="1">
        <v>0</v>
      </c>
      <c r="AC444" s="1">
        <v>0</v>
      </c>
      <c r="AD444" s="1">
        <v>0</v>
      </c>
    </row>
    <row r="445" spans="1:30" s="20" customFormat="1" ht="36" customHeight="1" x14ac:dyDescent="0.25">
      <c r="A445" s="2">
        <f t="shared" si="254"/>
        <v>417</v>
      </c>
      <c r="B445" s="3">
        <f t="shared" si="284"/>
        <v>417</v>
      </c>
      <c r="C445" s="30" t="s">
        <v>1763</v>
      </c>
      <c r="D445" s="4">
        <f t="shared" si="289"/>
        <v>5018000</v>
      </c>
      <c r="E445" s="1">
        <f t="shared" si="258"/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2">
        <v>0</v>
      </c>
      <c r="M445" s="1">
        <v>0</v>
      </c>
      <c r="N445" s="1">
        <v>1000</v>
      </c>
      <c r="O445" s="1">
        <f>N445*4968</f>
        <v>4968000</v>
      </c>
      <c r="P445" s="1">
        <v>0</v>
      </c>
      <c r="Q445" s="1">
        <f t="shared" si="256"/>
        <v>0</v>
      </c>
      <c r="R445" s="1">
        <v>0</v>
      </c>
      <c r="S445" s="1">
        <f t="shared" si="257"/>
        <v>0</v>
      </c>
      <c r="T445" s="1">
        <v>0</v>
      </c>
      <c r="U445" s="1">
        <v>0</v>
      </c>
      <c r="V445" s="1">
        <v>0</v>
      </c>
      <c r="W445" s="1">
        <v>50000</v>
      </c>
      <c r="X445" s="1">
        <v>0</v>
      </c>
      <c r="Y445" s="1">
        <v>0</v>
      </c>
      <c r="Z445" s="1">
        <v>0</v>
      </c>
      <c r="AA445" s="1">
        <v>0</v>
      </c>
      <c r="AB445" s="1">
        <v>0</v>
      </c>
      <c r="AC445" s="1">
        <v>0</v>
      </c>
      <c r="AD445" s="1">
        <v>0</v>
      </c>
    </row>
    <row r="446" spans="1:30" s="20" customFormat="1" ht="36" customHeight="1" x14ac:dyDescent="0.25">
      <c r="A446" s="2">
        <f t="shared" si="254"/>
        <v>418</v>
      </c>
      <c r="B446" s="6">
        <f>A446</f>
        <v>418</v>
      </c>
      <c r="C446" s="19" t="s">
        <v>2264</v>
      </c>
      <c r="D446" s="4">
        <f t="shared" si="289"/>
        <v>21200000</v>
      </c>
      <c r="E446" s="1">
        <f>SUM(F446:K446)</f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2">
        <v>6</v>
      </c>
      <c r="M446" s="1">
        <f t="shared" ref="M446" si="301">L446*3500000</f>
        <v>21000000</v>
      </c>
      <c r="N446" s="1">
        <v>0</v>
      </c>
      <c r="O446" s="1">
        <v>0</v>
      </c>
      <c r="P446" s="1">
        <v>0</v>
      </c>
      <c r="Q446" s="1">
        <f>P446*1400</f>
        <v>0</v>
      </c>
      <c r="R446" s="1">
        <v>0</v>
      </c>
      <c r="S446" s="1">
        <f>R446*3751</f>
        <v>0</v>
      </c>
      <c r="T446" s="1">
        <v>0</v>
      </c>
      <c r="U446" s="1">
        <v>200000</v>
      </c>
      <c r="V446" s="1">
        <v>0</v>
      </c>
      <c r="W446" s="1">
        <v>0</v>
      </c>
      <c r="X446" s="1">
        <v>0</v>
      </c>
      <c r="Y446" s="1">
        <v>0</v>
      </c>
      <c r="Z446" s="1">
        <v>0</v>
      </c>
      <c r="AA446" s="1">
        <v>0</v>
      </c>
      <c r="AB446" s="1">
        <v>0</v>
      </c>
      <c r="AC446" s="1">
        <v>0</v>
      </c>
      <c r="AD446" s="1">
        <v>0</v>
      </c>
    </row>
    <row r="447" spans="1:30" s="20" customFormat="1" ht="36" customHeight="1" x14ac:dyDescent="0.25">
      <c r="A447" s="2">
        <f t="shared" si="254"/>
        <v>419</v>
      </c>
      <c r="B447" s="6">
        <f t="shared" ref="B447" si="302">A447</f>
        <v>419</v>
      </c>
      <c r="C447" s="19" t="s">
        <v>1420</v>
      </c>
      <c r="D447" s="4">
        <f>E447+M447+O447+Q447+S447+T447+U447+V447+X447+W447+Z447+AA447+AB447+AC447+AD447</f>
        <v>25793250.75</v>
      </c>
      <c r="E447" s="1">
        <f t="shared" si="258"/>
        <v>25743250.75</v>
      </c>
      <c r="F447" s="1">
        <f>804*6558.79</f>
        <v>5273267.16</v>
      </c>
      <c r="G447" s="1">
        <f>1693*6558.79</f>
        <v>11104031.470000001</v>
      </c>
      <c r="H447" s="1">
        <f>390*6558.79</f>
        <v>2557928.1</v>
      </c>
      <c r="I447" s="1">
        <f>571*6558.79</f>
        <v>3745069.09</v>
      </c>
      <c r="J447" s="1">
        <f>467*6558.79</f>
        <v>3062954.93</v>
      </c>
      <c r="K447" s="1">
        <v>0</v>
      </c>
      <c r="L447" s="2">
        <v>0</v>
      </c>
      <c r="M447" s="1">
        <v>0</v>
      </c>
      <c r="N447" s="1">
        <v>0</v>
      </c>
      <c r="O447" s="1">
        <v>0</v>
      </c>
      <c r="P447" s="1">
        <v>0</v>
      </c>
      <c r="Q447" s="1">
        <f t="shared" si="256"/>
        <v>0</v>
      </c>
      <c r="R447" s="1">
        <v>0</v>
      </c>
      <c r="S447" s="1">
        <f t="shared" si="257"/>
        <v>0</v>
      </c>
      <c r="T447" s="1">
        <v>0</v>
      </c>
      <c r="U447" s="1">
        <v>50000</v>
      </c>
      <c r="V447" s="1">
        <v>0</v>
      </c>
      <c r="W447" s="1">
        <v>0</v>
      </c>
      <c r="X447" s="1">
        <v>0</v>
      </c>
      <c r="Y447" s="1">
        <v>0</v>
      </c>
      <c r="Z447" s="1">
        <v>0</v>
      </c>
      <c r="AA447" s="1">
        <v>0</v>
      </c>
      <c r="AB447" s="1">
        <v>0</v>
      </c>
      <c r="AC447" s="1">
        <v>0</v>
      </c>
      <c r="AD447" s="1">
        <v>0</v>
      </c>
    </row>
    <row r="448" spans="1:30" s="20" customFormat="1" ht="36" customHeight="1" x14ac:dyDescent="0.25">
      <c r="A448" s="2">
        <f t="shared" ref="A448:A530" si="303">ROW()-ROW($A$11)-17</f>
        <v>420</v>
      </c>
      <c r="B448" s="6">
        <f>A448</f>
        <v>420</v>
      </c>
      <c r="C448" s="19" t="s">
        <v>841</v>
      </c>
      <c r="D448" s="4">
        <f>E448+M448+O448+Q448+S448+T448+U448+V448+X448+W448+Z448+AA448+AB448+AC448+AD448</f>
        <v>13396746.75</v>
      </c>
      <c r="E448" s="1">
        <f t="shared" ref="E448" si="304">SUM(F448:K448)</f>
        <v>8642496.75</v>
      </c>
      <c r="F448" s="1">
        <f>804*2201.91</f>
        <v>1770335.64</v>
      </c>
      <c r="G448" s="1">
        <f>1693*2201.91</f>
        <v>3727833.63</v>
      </c>
      <c r="H448" s="1">
        <f>390*2201.91</f>
        <v>858744.89999999991</v>
      </c>
      <c r="I448" s="1">
        <f>571*2201.91</f>
        <v>1257290.6099999999</v>
      </c>
      <c r="J448" s="1">
        <f>467*2201.91</f>
        <v>1028291.97</v>
      </c>
      <c r="K448" s="1">
        <v>0</v>
      </c>
      <c r="L448" s="2">
        <v>0</v>
      </c>
      <c r="M448" s="1">
        <v>0</v>
      </c>
      <c r="N448" s="1">
        <v>607</v>
      </c>
      <c r="O448" s="1">
        <f>N448*7750</f>
        <v>4704250</v>
      </c>
      <c r="P448" s="1">
        <v>0</v>
      </c>
      <c r="Q448" s="1">
        <f t="shared" ref="Q448" si="305">P448*1400</f>
        <v>0</v>
      </c>
      <c r="R448" s="1">
        <v>0</v>
      </c>
      <c r="S448" s="1">
        <f t="shared" ref="S448" si="306">R448*3751</f>
        <v>0</v>
      </c>
      <c r="T448" s="1">
        <v>0</v>
      </c>
      <c r="U448" s="1">
        <v>50000</v>
      </c>
      <c r="V448" s="1">
        <v>0</v>
      </c>
      <c r="W448" s="1">
        <v>0</v>
      </c>
      <c r="X448" s="1">
        <v>0</v>
      </c>
      <c r="Y448" s="1">
        <v>0</v>
      </c>
      <c r="Z448" s="1">
        <v>0</v>
      </c>
      <c r="AA448" s="1">
        <v>0</v>
      </c>
      <c r="AB448" s="1">
        <v>0</v>
      </c>
      <c r="AC448" s="1">
        <v>0</v>
      </c>
      <c r="AD448" s="1">
        <v>0</v>
      </c>
    </row>
    <row r="449" spans="1:30" s="20" customFormat="1" ht="36" customHeight="1" x14ac:dyDescent="0.25">
      <c r="A449" s="2">
        <f t="shared" si="303"/>
        <v>421</v>
      </c>
      <c r="B449" s="6">
        <f t="shared" ref="B449" si="307">A449</f>
        <v>421</v>
      </c>
      <c r="C449" s="19" t="s">
        <v>842</v>
      </c>
      <c r="D449" s="4">
        <f>E449+M449+O449+Q449+S449+T449+U449+V449+X449+W449+Z449+AA449+AB449+AC449+AD449</f>
        <v>15075098.249999998</v>
      </c>
      <c r="E449" s="1">
        <f t="shared" ref="E449" si="308">SUM(F449:K449)</f>
        <v>10328598.249999998</v>
      </c>
      <c r="F449" s="1">
        <f>804*2631.49</f>
        <v>2115717.96</v>
      </c>
      <c r="G449" s="1">
        <f>1693*2631.49</f>
        <v>4455112.5699999994</v>
      </c>
      <c r="H449" s="1">
        <f>390*2631.49</f>
        <v>1026281.0999999999</v>
      </c>
      <c r="I449" s="1">
        <f>571*2631.49</f>
        <v>1502580.7899999998</v>
      </c>
      <c r="J449" s="1">
        <f>467*2631.49</f>
        <v>1228905.8299999998</v>
      </c>
      <c r="K449" s="1">
        <v>0</v>
      </c>
      <c r="L449" s="2">
        <v>0</v>
      </c>
      <c r="M449" s="1">
        <v>0</v>
      </c>
      <c r="N449" s="1">
        <v>606</v>
      </c>
      <c r="O449" s="1">
        <f>N449*7750</f>
        <v>4696500</v>
      </c>
      <c r="P449" s="1">
        <v>0</v>
      </c>
      <c r="Q449" s="1">
        <f t="shared" ref="Q449" si="309">P449*1400</f>
        <v>0</v>
      </c>
      <c r="R449" s="1">
        <v>0</v>
      </c>
      <c r="S449" s="1">
        <f t="shared" ref="S449" si="310">R449*3751</f>
        <v>0</v>
      </c>
      <c r="T449" s="1">
        <v>0</v>
      </c>
      <c r="U449" s="1">
        <v>50000</v>
      </c>
      <c r="V449" s="1">
        <v>0</v>
      </c>
      <c r="W449" s="1">
        <v>0</v>
      </c>
      <c r="X449" s="1">
        <v>0</v>
      </c>
      <c r="Y449" s="1">
        <v>0</v>
      </c>
      <c r="Z449" s="1">
        <v>0</v>
      </c>
      <c r="AA449" s="1">
        <v>0</v>
      </c>
      <c r="AB449" s="1">
        <v>0</v>
      </c>
      <c r="AC449" s="1">
        <v>0</v>
      </c>
      <c r="AD449" s="1">
        <v>0</v>
      </c>
    </row>
    <row r="450" spans="1:30" s="20" customFormat="1" ht="36" customHeight="1" x14ac:dyDescent="0.25">
      <c r="A450" s="2">
        <f t="shared" si="303"/>
        <v>422</v>
      </c>
      <c r="B450" s="6">
        <f t="shared" ref="B450:B458" si="311">A450</f>
        <v>422</v>
      </c>
      <c r="C450" s="19" t="s">
        <v>1717</v>
      </c>
      <c r="D450" s="4">
        <f t="shared" ref="D450:D474" si="312">E450+M450+O450+Q450+S450+T450+U450+V450+W450+X450+Z450+AA450+AB450+AC450+AD450</f>
        <v>7200000</v>
      </c>
      <c r="E450" s="1">
        <f t="shared" ref="E450:E458" si="313">SUM(F450:K450)</f>
        <v>0</v>
      </c>
      <c r="F450" s="1">
        <v>0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2">
        <v>2</v>
      </c>
      <c r="M450" s="1">
        <f>L450*3500000</f>
        <v>7000000</v>
      </c>
      <c r="N450" s="1">
        <v>0</v>
      </c>
      <c r="O450" s="1">
        <v>0</v>
      </c>
      <c r="P450" s="1">
        <v>0</v>
      </c>
      <c r="Q450" s="1">
        <f t="shared" ref="Q450:Q458" si="314">P450*1400</f>
        <v>0</v>
      </c>
      <c r="R450" s="1">
        <v>0</v>
      </c>
      <c r="S450" s="1">
        <f t="shared" ref="S450:S458" si="315">R450*3751</f>
        <v>0</v>
      </c>
      <c r="T450" s="1">
        <v>0</v>
      </c>
      <c r="U450" s="1">
        <v>200000</v>
      </c>
      <c r="V450" s="1">
        <v>0</v>
      </c>
      <c r="W450" s="1">
        <v>0</v>
      </c>
      <c r="X450" s="1">
        <v>0</v>
      </c>
      <c r="Y450" s="1">
        <v>0</v>
      </c>
      <c r="Z450" s="1">
        <v>0</v>
      </c>
      <c r="AA450" s="1">
        <v>0</v>
      </c>
      <c r="AB450" s="1">
        <v>0</v>
      </c>
      <c r="AC450" s="1">
        <v>0</v>
      </c>
      <c r="AD450" s="1">
        <v>0</v>
      </c>
    </row>
    <row r="451" spans="1:30" s="20" customFormat="1" ht="36" customHeight="1" x14ac:dyDescent="0.25">
      <c r="A451" s="2">
        <f t="shared" si="303"/>
        <v>423</v>
      </c>
      <c r="B451" s="6">
        <f t="shared" si="311"/>
        <v>423</v>
      </c>
      <c r="C451" s="19" t="s">
        <v>1718</v>
      </c>
      <c r="D451" s="4">
        <f t="shared" si="312"/>
        <v>7200000</v>
      </c>
      <c r="E451" s="1">
        <f t="shared" si="313"/>
        <v>0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2">
        <v>2</v>
      </c>
      <c r="M451" s="1">
        <f t="shared" ref="M451" si="316">L451*3500000</f>
        <v>7000000</v>
      </c>
      <c r="N451" s="1">
        <v>0</v>
      </c>
      <c r="O451" s="1">
        <v>0</v>
      </c>
      <c r="P451" s="1">
        <v>0</v>
      </c>
      <c r="Q451" s="1">
        <f t="shared" si="314"/>
        <v>0</v>
      </c>
      <c r="R451" s="1">
        <v>0</v>
      </c>
      <c r="S451" s="1">
        <f t="shared" si="315"/>
        <v>0</v>
      </c>
      <c r="T451" s="1">
        <v>0</v>
      </c>
      <c r="U451" s="1">
        <v>200000</v>
      </c>
      <c r="V451" s="1">
        <v>0</v>
      </c>
      <c r="W451" s="1">
        <v>0</v>
      </c>
      <c r="X451" s="1">
        <v>0</v>
      </c>
      <c r="Y451" s="1">
        <v>0</v>
      </c>
      <c r="Z451" s="1">
        <v>0</v>
      </c>
      <c r="AA451" s="1">
        <v>0</v>
      </c>
      <c r="AB451" s="1">
        <v>0</v>
      </c>
      <c r="AC451" s="1">
        <v>0</v>
      </c>
      <c r="AD451" s="1">
        <v>0</v>
      </c>
    </row>
    <row r="452" spans="1:30" s="20" customFormat="1" ht="36" customHeight="1" x14ac:dyDescent="0.25">
      <c r="A452" s="2">
        <f t="shared" si="303"/>
        <v>424</v>
      </c>
      <c r="B452" s="6">
        <f t="shared" si="311"/>
        <v>424</v>
      </c>
      <c r="C452" s="19" t="s">
        <v>2266</v>
      </c>
      <c r="D452" s="4">
        <f t="shared" si="312"/>
        <v>21200000</v>
      </c>
      <c r="E452" s="1">
        <f t="shared" si="313"/>
        <v>0</v>
      </c>
      <c r="F452" s="1">
        <v>0</v>
      </c>
      <c r="G452" s="1">
        <v>0</v>
      </c>
      <c r="H452" s="1">
        <v>0</v>
      </c>
      <c r="I452" s="1">
        <v>0</v>
      </c>
      <c r="J452" s="1">
        <v>0</v>
      </c>
      <c r="K452" s="1">
        <v>0</v>
      </c>
      <c r="L452" s="2">
        <v>6</v>
      </c>
      <c r="M452" s="1">
        <f>L452*3500000</f>
        <v>21000000</v>
      </c>
      <c r="N452" s="1">
        <v>0</v>
      </c>
      <c r="O452" s="1">
        <v>0</v>
      </c>
      <c r="P452" s="1">
        <v>0</v>
      </c>
      <c r="Q452" s="1">
        <f t="shared" si="314"/>
        <v>0</v>
      </c>
      <c r="R452" s="1">
        <v>0</v>
      </c>
      <c r="S452" s="1">
        <f t="shared" si="315"/>
        <v>0</v>
      </c>
      <c r="T452" s="1">
        <v>0</v>
      </c>
      <c r="U452" s="1">
        <v>200000</v>
      </c>
      <c r="V452" s="1">
        <v>0</v>
      </c>
      <c r="W452" s="1">
        <v>0</v>
      </c>
      <c r="X452" s="1">
        <v>0</v>
      </c>
      <c r="Y452" s="1">
        <v>0</v>
      </c>
      <c r="Z452" s="1">
        <v>0</v>
      </c>
      <c r="AA452" s="1">
        <v>0</v>
      </c>
      <c r="AB452" s="1">
        <v>0</v>
      </c>
      <c r="AC452" s="1">
        <v>0</v>
      </c>
      <c r="AD452" s="1">
        <v>0</v>
      </c>
    </row>
    <row r="453" spans="1:30" s="20" customFormat="1" ht="36" customHeight="1" x14ac:dyDescent="0.25">
      <c r="A453" s="2">
        <f t="shared" si="303"/>
        <v>425</v>
      </c>
      <c r="B453" s="6">
        <f t="shared" si="311"/>
        <v>425</v>
      </c>
      <c r="C453" s="19" t="s">
        <v>1719</v>
      </c>
      <c r="D453" s="4">
        <f t="shared" si="312"/>
        <v>7200000</v>
      </c>
      <c r="E453" s="1">
        <f t="shared" si="313"/>
        <v>0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>
        <v>0</v>
      </c>
      <c r="L453" s="2">
        <v>2</v>
      </c>
      <c r="M453" s="1">
        <f>L453*3500000</f>
        <v>7000000</v>
      </c>
      <c r="N453" s="1">
        <v>0</v>
      </c>
      <c r="O453" s="1">
        <v>0</v>
      </c>
      <c r="P453" s="1">
        <v>0</v>
      </c>
      <c r="Q453" s="1">
        <f t="shared" si="314"/>
        <v>0</v>
      </c>
      <c r="R453" s="1">
        <v>0</v>
      </c>
      <c r="S453" s="1">
        <f t="shared" si="315"/>
        <v>0</v>
      </c>
      <c r="T453" s="1">
        <v>0</v>
      </c>
      <c r="U453" s="1">
        <v>200000</v>
      </c>
      <c r="V453" s="1">
        <v>0</v>
      </c>
      <c r="W453" s="1">
        <v>0</v>
      </c>
      <c r="X453" s="1">
        <v>0</v>
      </c>
      <c r="Y453" s="1">
        <v>0</v>
      </c>
      <c r="Z453" s="1">
        <v>0</v>
      </c>
      <c r="AA453" s="1">
        <v>0</v>
      </c>
      <c r="AB453" s="1">
        <v>0</v>
      </c>
      <c r="AC453" s="1">
        <v>0</v>
      </c>
      <c r="AD453" s="1">
        <v>0</v>
      </c>
    </row>
    <row r="454" spans="1:30" s="20" customFormat="1" ht="36" customHeight="1" x14ac:dyDescent="0.25">
      <c r="A454" s="2">
        <f t="shared" si="303"/>
        <v>426</v>
      </c>
      <c r="B454" s="6">
        <f t="shared" si="311"/>
        <v>426</v>
      </c>
      <c r="C454" s="19" t="s">
        <v>2267</v>
      </c>
      <c r="D454" s="4">
        <f t="shared" si="312"/>
        <v>7200000</v>
      </c>
      <c r="E454" s="1">
        <f t="shared" si="313"/>
        <v>0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2">
        <v>2</v>
      </c>
      <c r="M454" s="1">
        <f>L454*3500000</f>
        <v>7000000</v>
      </c>
      <c r="N454" s="1">
        <v>0</v>
      </c>
      <c r="O454" s="1">
        <v>0</v>
      </c>
      <c r="P454" s="1">
        <v>0</v>
      </c>
      <c r="Q454" s="1">
        <f t="shared" si="314"/>
        <v>0</v>
      </c>
      <c r="R454" s="1">
        <v>0</v>
      </c>
      <c r="S454" s="1">
        <f t="shared" si="315"/>
        <v>0</v>
      </c>
      <c r="T454" s="1">
        <v>0</v>
      </c>
      <c r="U454" s="1">
        <v>200000</v>
      </c>
      <c r="V454" s="1">
        <v>0</v>
      </c>
      <c r="W454" s="1">
        <v>0</v>
      </c>
      <c r="X454" s="1">
        <v>0</v>
      </c>
      <c r="Y454" s="1">
        <v>0</v>
      </c>
      <c r="Z454" s="1">
        <v>0</v>
      </c>
      <c r="AA454" s="1">
        <v>0</v>
      </c>
      <c r="AB454" s="1">
        <v>0</v>
      </c>
      <c r="AC454" s="1">
        <v>0</v>
      </c>
      <c r="AD454" s="1">
        <v>0</v>
      </c>
    </row>
    <row r="455" spans="1:30" s="20" customFormat="1" ht="36" customHeight="1" x14ac:dyDescent="0.25">
      <c r="A455" s="2">
        <f t="shared" si="303"/>
        <v>427</v>
      </c>
      <c r="B455" s="6">
        <f t="shared" si="311"/>
        <v>427</v>
      </c>
      <c r="C455" s="19" t="s">
        <v>2268</v>
      </c>
      <c r="D455" s="4">
        <f t="shared" si="312"/>
        <v>14200000</v>
      </c>
      <c r="E455" s="1">
        <f t="shared" si="313"/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2">
        <v>4</v>
      </c>
      <c r="M455" s="1">
        <f>L455*3500000</f>
        <v>14000000</v>
      </c>
      <c r="N455" s="1">
        <v>0</v>
      </c>
      <c r="O455" s="1">
        <v>0</v>
      </c>
      <c r="P455" s="1">
        <v>0</v>
      </c>
      <c r="Q455" s="1">
        <f t="shared" si="314"/>
        <v>0</v>
      </c>
      <c r="R455" s="1">
        <v>0</v>
      </c>
      <c r="S455" s="1">
        <f t="shared" si="315"/>
        <v>0</v>
      </c>
      <c r="T455" s="1">
        <v>0</v>
      </c>
      <c r="U455" s="1">
        <v>200000</v>
      </c>
      <c r="V455" s="1">
        <v>0</v>
      </c>
      <c r="W455" s="1">
        <v>0</v>
      </c>
      <c r="X455" s="1">
        <v>0</v>
      </c>
      <c r="Y455" s="1">
        <v>0</v>
      </c>
      <c r="Z455" s="1">
        <v>0</v>
      </c>
      <c r="AA455" s="1">
        <v>0</v>
      </c>
      <c r="AB455" s="1">
        <v>0</v>
      </c>
      <c r="AC455" s="1">
        <v>0</v>
      </c>
      <c r="AD455" s="1">
        <v>0</v>
      </c>
    </row>
    <row r="456" spans="1:30" s="20" customFormat="1" ht="36" customHeight="1" x14ac:dyDescent="0.25">
      <c r="A456" s="2">
        <f t="shared" si="303"/>
        <v>428</v>
      </c>
      <c r="B456" s="6">
        <f t="shared" si="311"/>
        <v>428</v>
      </c>
      <c r="C456" s="19" t="s">
        <v>2269</v>
      </c>
      <c r="D456" s="4">
        <f t="shared" si="312"/>
        <v>14200000</v>
      </c>
      <c r="E456" s="1">
        <f t="shared" si="313"/>
        <v>0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2">
        <v>4</v>
      </c>
      <c r="M456" s="1">
        <f t="shared" ref="M456" si="317">L456*3500000</f>
        <v>14000000</v>
      </c>
      <c r="N456" s="1">
        <v>0</v>
      </c>
      <c r="O456" s="1">
        <v>0</v>
      </c>
      <c r="P456" s="1">
        <v>0</v>
      </c>
      <c r="Q456" s="1">
        <f t="shared" si="314"/>
        <v>0</v>
      </c>
      <c r="R456" s="1">
        <v>0</v>
      </c>
      <c r="S456" s="1">
        <f t="shared" si="315"/>
        <v>0</v>
      </c>
      <c r="T456" s="1">
        <v>0</v>
      </c>
      <c r="U456" s="1">
        <v>200000</v>
      </c>
      <c r="V456" s="1">
        <v>0</v>
      </c>
      <c r="W456" s="1">
        <v>0</v>
      </c>
      <c r="X456" s="1">
        <v>0</v>
      </c>
      <c r="Y456" s="1">
        <v>0</v>
      </c>
      <c r="Z456" s="1">
        <v>0</v>
      </c>
      <c r="AA456" s="1">
        <v>0</v>
      </c>
      <c r="AB456" s="1">
        <v>0</v>
      </c>
      <c r="AC456" s="1">
        <v>0</v>
      </c>
      <c r="AD456" s="1">
        <v>0</v>
      </c>
    </row>
    <row r="457" spans="1:30" s="20" customFormat="1" ht="36" customHeight="1" x14ac:dyDescent="0.25">
      <c r="A457" s="2">
        <f t="shared" si="303"/>
        <v>429</v>
      </c>
      <c r="B457" s="6">
        <f t="shared" si="311"/>
        <v>429</v>
      </c>
      <c r="C457" s="19" t="s">
        <v>2457</v>
      </c>
      <c r="D457" s="4">
        <f t="shared" si="312"/>
        <v>3700000</v>
      </c>
      <c r="E457" s="1">
        <f t="shared" si="313"/>
        <v>0</v>
      </c>
      <c r="F457" s="1">
        <v>0</v>
      </c>
      <c r="G457" s="1">
        <v>0</v>
      </c>
      <c r="H457" s="1">
        <v>0</v>
      </c>
      <c r="I457" s="1">
        <v>0</v>
      </c>
      <c r="J457" s="1">
        <v>0</v>
      </c>
      <c r="K457" s="1">
        <v>0</v>
      </c>
      <c r="L457" s="2">
        <v>1</v>
      </c>
      <c r="M457" s="1">
        <f>L457*3500000</f>
        <v>3500000</v>
      </c>
      <c r="N457" s="1">
        <v>0</v>
      </c>
      <c r="O457" s="1">
        <v>0</v>
      </c>
      <c r="P457" s="1">
        <v>0</v>
      </c>
      <c r="Q457" s="1">
        <f t="shared" si="314"/>
        <v>0</v>
      </c>
      <c r="R457" s="1">
        <v>0</v>
      </c>
      <c r="S457" s="1">
        <f t="shared" si="315"/>
        <v>0</v>
      </c>
      <c r="T457" s="1">
        <v>0</v>
      </c>
      <c r="U457" s="1">
        <v>200000</v>
      </c>
      <c r="V457" s="1">
        <v>0</v>
      </c>
      <c r="W457" s="1">
        <v>0</v>
      </c>
      <c r="X457" s="1">
        <v>0</v>
      </c>
      <c r="Y457" s="1">
        <v>0</v>
      </c>
      <c r="Z457" s="1">
        <v>0</v>
      </c>
      <c r="AA457" s="1">
        <v>0</v>
      </c>
      <c r="AB457" s="1">
        <v>0</v>
      </c>
      <c r="AC457" s="1">
        <v>0</v>
      </c>
      <c r="AD457" s="1">
        <v>0</v>
      </c>
    </row>
    <row r="458" spans="1:30" s="20" customFormat="1" ht="36" customHeight="1" x14ac:dyDescent="0.25">
      <c r="A458" s="2">
        <f t="shared" si="303"/>
        <v>430</v>
      </c>
      <c r="B458" s="6">
        <f t="shared" si="311"/>
        <v>430</v>
      </c>
      <c r="C458" s="19" t="s">
        <v>2458</v>
      </c>
      <c r="D458" s="4">
        <f t="shared" si="312"/>
        <v>3700000</v>
      </c>
      <c r="E458" s="1">
        <f t="shared" si="313"/>
        <v>0</v>
      </c>
      <c r="F458" s="1">
        <v>0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2">
        <v>1</v>
      </c>
      <c r="M458" s="1">
        <f t="shared" ref="M458" si="318">L458*3500000</f>
        <v>3500000</v>
      </c>
      <c r="N458" s="1">
        <v>0</v>
      </c>
      <c r="O458" s="1">
        <v>0</v>
      </c>
      <c r="P458" s="1">
        <v>0</v>
      </c>
      <c r="Q458" s="1">
        <f t="shared" si="314"/>
        <v>0</v>
      </c>
      <c r="R458" s="1">
        <v>0</v>
      </c>
      <c r="S458" s="1">
        <f t="shared" si="315"/>
        <v>0</v>
      </c>
      <c r="T458" s="1">
        <v>0</v>
      </c>
      <c r="U458" s="1">
        <v>200000</v>
      </c>
      <c r="V458" s="1">
        <v>0</v>
      </c>
      <c r="W458" s="1">
        <v>0</v>
      </c>
      <c r="X458" s="1">
        <v>0</v>
      </c>
      <c r="Y458" s="1">
        <v>0</v>
      </c>
      <c r="Z458" s="1">
        <v>0</v>
      </c>
      <c r="AA458" s="1">
        <v>0</v>
      </c>
      <c r="AB458" s="1">
        <v>0</v>
      </c>
      <c r="AC458" s="1">
        <v>0</v>
      </c>
      <c r="AD458" s="1">
        <v>0</v>
      </c>
    </row>
    <row r="459" spans="1:30" s="20" customFormat="1" ht="36" customHeight="1" x14ac:dyDescent="0.25">
      <c r="A459" s="2">
        <f t="shared" si="254"/>
        <v>431</v>
      </c>
      <c r="B459" s="6">
        <f t="shared" si="284"/>
        <v>431</v>
      </c>
      <c r="C459" s="19" t="s">
        <v>1812</v>
      </c>
      <c r="D459" s="4">
        <f t="shared" si="312"/>
        <v>7200000</v>
      </c>
      <c r="E459" s="1">
        <f t="shared" si="258"/>
        <v>0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2">
        <v>2</v>
      </c>
      <c r="M459" s="1">
        <f t="shared" si="255"/>
        <v>7000000</v>
      </c>
      <c r="N459" s="1">
        <v>0</v>
      </c>
      <c r="O459" s="1">
        <v>0</v>
      </c>
      <c r="P459" s="1">
        <v>0</v>
      </c>
      <c r="Q459" s="1">
        <f t="shared" si="256"/>
        <v>0</v>
      </c>
      <c r="R459" s="1">
        <v>0</v>
      </c>
      <c r="S459" s="1">
        <f t="shared" si="257"/>
        <v>0</v>
      </c>
      <c r="T459" s="1">
        <v>0</v>
      </c>
      <c r="U459" s="1">
        <v>200000</v>
      </c>
      <c r="V459" s="1">
        <v>0</v>
      </c>
      <c r="W459" s="1">
        <v>0</v>
      </c>
      <c r="X459" s="1">
        <v>0</v>
      </c>
      <c r="Y459" s="1">
        <v>0</v>
      </c>
      <c r="Z459" s="1">
        <v>0</v>
      </c>
      <c r="AA459" s="1">
        <v>0</v>
      </c>
      <c r="AB459" s="1">
        <v>0</v>
      </c>
      <c r="AC459" s="1">
        <v>0</v>
      </c>
      <c r="AD459" s="1">
        <v>0</v>
      </c>
    </row>
    <row r="460" spans="1:30" s="20" customFormat="1" ht="36" customHeight="1" x14ac:dyDescent="0.25">
      <c r="A460" s="2">
        <f t="shared" si="254"/>
        <v>432</v>
      </c>
      <c r="B460" s="6">
        <f>A460</f>
        <v>432</v>
      </c>
      <c r="C460" s="30" t="s">
        <v>843</v>
      </c>
      <c r="D460" s="4">
        <f t="shared" si="312"/>
        <v>14935423.85</v>
      </c>
      <c r="E460" s="1">
        <f t="shared" si="258"/>
        <v>9688038.25</v>
      </c>
      <c r="F460" s="1">
        <f>804*2468.29</f>
        <v>1984505.16</v>
      </c>
      <c r="G460" s="1">
        <f>1693*2468.29</f>
        <v>4178814.9699999997</v>
      </c>
      <c r="H460" s="1">
        <f>390*2468.29</f>
        <v>962633.1</v>
      </c>
      <c r="I460" s="1">
        <f>571*2468.29</f>
        <v>1409393.59</v>
      </c>
      <c r="J460" s="1">
        <f>467*2468.29</f>
        <v>1152691.43</v>
      </c>
      <c r="K460" s="1">
        <v>0</v>
      </c>
      <c r="L460" s="2">
        <v>0</v>
      </c>
      <c r="M460" s="1">
        <f t="shared" si="255"/>
        <v>0</v>
      </c>
      <c r="N460" s="1">
        <v>0</v>
      </c>
      <c r="O460" s="1">
        <v>0</v>
      </c>
      <c r="P460" s="1">
        <v>0</v>
      </c>
      <c r="Q460" s="1">
        <f t="shared" si="256"/>
        <v>0</v>
      </c>
      <c r="R460" s="1">
        <v>1385.6</v>
      </c>
      <c r="S460" s="1">
        <f t="shared" si="257"/>
        <v>5197385.5999999996</v>
      </c>
      <c r="T460" s="1">
        <v>0</v>
      </c>
      <c r="U460" s="1">
        <v>50000</v>
      </c>
      <c r="V460" s="1">
        <v>0</v>
      </c>
      <c r="W460" s="1">
        <v>0</v>
      </c>
      <c r="X460" s="1">
        <v>0</v>
      </c>
      <c r="Y460" s="1">
        <v>0</v>
      </c>
      <c r="Z460" s="1">
        <v>0</v>
      </c>
      <c r="AA460" s="1">
        <v>0</v>
      </c>
      <c r="AB460" s="1">
        <v>0</v>
      </c>
      <c r="AC460" s="1">
        <v>0</v>
      </c>
      <c r="AD460" s="1">
        <v>0</v>
      </c>
    </row>
    <row r="461" spans="1:30" s="20" customFormat="1" ht="36" customHeight="1" x14ac:dyDescent="0.25">
      <c r="A461" s="2">
        <f t="shared" si="254"/>
        <v>433</v>
      </c>
      <c r="B461" s="6">
        <f>A461</f>
        <v>433</v>
      </c>
      <c r="C461" s="30" t="s">
        <v>844</v>
      </c>
      <c r="D461" s="4">
        <f t="shared" si="312"/>
        <v>18061471.75</v>
      </c>
      <c r="E461" s="1">
        <f t="shared" si="258"/>
        <v>11334691.75</v>
      </c>
      <c r="F461" s="1">
        <v>0</v>
      </c>
      <c r="G461" s="1">
        <f>1693*3631.75</f>
        <v>6148552.75</v>
      </c>
      <c r="H461" s="1">
        <f>390*3631.75</f>
        <v>1416382.5</v>
      </c>
      <c r="I461" s="1">
        <f>571*3631.75</f>
        <v>2073729.25</v>
      </c>
      <c r="J461" s="1">
        <f>467*3631.75</f>
        <v>1696027.25</v>
      </c>
      <c r="K461" s="1">
        <v>0</v>
      </c>
      <c r="L461" s="2">
        <v>0</v>
      </c>
      <c r="M461" s="1">
        <f t="shared" si="255"/>
        <v>0</v>
      </c>
      <c r="N461" s="1">
        <v>0</v>
      </c>
      <c r="O461" s="1">
        <v>0</v>
      </c>
      <c r="P461" s="1">
        <v>0</v>
      </c>
      <c r="Q461" s="1">
        <f t="shared" si="256"/>
        <v>0</v>
      </c>
      <c r="R461" s="1">
        <v>1780</v>
      </c>
      <c r="S461" s="1">
        <f t="shared" si="257"/>
        <v>6676780</v>
      </c>
      <c r="T461" s="1">
        <v>0</v>
      </c>
      <c r="U461" s="1">
        <v>50000</v>
      </c>
      <c r="V461" s="1">
        <v>0</v>
      </c>
      <c r="W461" s="1">
        <v>0</v>
      </c>
      <c r="X461" s="1">
        <v>0</v>
      </c>
      <c r="Y461" s="1">
        <v>0</v>
      </c>
      <c r="Z461" s="1">
        <v>0</v>
      </c>
      <c r="AA461" s="1">
        <v>0</v>
      </c>
      <c r="AB461" s="1">
        <v>0</v>
      </c>
      <c r="AC461" s="1">
        <v>0</v>
      </c>
      <c r="AD461" s="1">
        <v>0</v>
      </c>
    </row>
    <row r="462" spans="1:30" s="20" customFormat="1" ht="36" customHeight="1" x14ac:dyDescent="0.25">
      <c r="A462" s="2">
        <f t="shared" si="254"/>
        <v>434</v>
      </c>
      <c r="B462" s="6">
        <f>A462</f>
        <v>434</v>
      </c>
      <c r="C462" s="30" t="s">
        <v>286</v>
      </c>
      <c r="D462" s="4">
        <f t="shared" si="312"/>
        <v>6553101.9999999991</v>
      </c>
      <c r="E462" s="1">
        <f>SUM(F462:K462)</f>
        <v>4532589.9999999991</v>
      </c>
      <c r="F462" s="1">
        <f>804*1154.8</f>
        <v>928459.2</v>
      </c>
      <c r="G462" s="1">
        <f>1693*1154.8</f>
        <v>1955076.4</v>
      </c>
      <c r="H462" s="1">
        <f>390*1154.8</f>
        <v>450372</v>
      </c>
      <c r="I462" s="1">
        <f>571*1154.8</f>
        <v>659390.79999999993</v>
      </c>
      <c r="J462" s="1">
        <f>467*1154.8</f>
        <v>539291.6</v>
      </c>
      <c r="K462" s="1">
        <v>0</v>
      </c>
      <c r="L462" s="2">
        <v>0</v>
      </c>
      <c r="M462" s="1">
        <f>L462*3500000</f>
        <v>0</v>
      </c>
      <c r="N462" s="1">
        <v>0</v>
      </c>
      <c r="O462" s="1">
        <v>0</v>
      </c>
      <c r="P462" s="1">
        <v>0</v>
      </c>
      <c r="Q462" s="1">
        <f>P462*1400</f>
        <v>0</v>
      </c>
      <c r="R462" s="1">
        <v>512</v>
      </c>
      <c r="S462" s="1">
        <f>R462*3751</f>
        <v>1920512</v>
      </c>
      <c r="T462" s="1">
        <v>0</v>
      </c>
      <c r="U462" s="1">
        <v>50000</v>
      </c>
      <c r="V462" s="1">
        <v>0</v>
      </c>
      <c r="W462" s="1">
        <v>50000</v>
      </c>
      <c r="X462" s="1">
        <v>0</v>
      </c>
      <c r="Y462" s="1">
        <v>0</v>
      </c>
      <c r="Z462" s="1">
        <v>0</v>
      </c>
      <c r="AA462" s="1">
        <v>0</v>
      </c>
      <c r="AB462" s="1">
        <v>0</v>
      </c>
      <c r="AC462" s="1">
        <v>0</v>
      </c>
      <c r="AD462" s="1">
        <v>0</v>
      </c>
    </row>
    <row r="463" spans="1:30" s="20" customFormat="1" ht="36" customHeight="1" x14ac:dyDescent="0.25">
      <c r="A463" s="2">
        <f t="shared" si="254"/>
        <v>435</v>
      </c>
      <c r="B463" s="6">
        <f t="shared" si="284"/>
        <v>435</v>
      </c>
      <c r="C463" s="30" t="s">
        <v>283</v>
      </c>
      <c r="D463" s="4">
        <f t="shared" si="312"/>
        <v>6721808.75</v>
      </c>
      <c r="E463" s="1">
        <f t="shared" si="258"/>
        <v>4209915.75</v>
      </c>
      <c r="F463" s="1">
        <f>804*1072.59</f>
        <v>862362.36</v>
      </c>
      <c r="G463" s="1">
        <f>1693*1072.59</f>
        <v>1815894.8699999999</v>
      </c>
      <c r="H463" s="1">
        <f>390*1072.59</f>
        <v>418310.1</v>
      </c>
      <c r="I463" s="1">
        <f>571*1072.59</f>
        <v>612448.8899999999</v>
      </c>
      <c r="J463" s="1">
        <f>467*1072.59</f>
        <v>500899.52999999997</v>
      </c>
      <c r="K463" s="1">
        <v>0</v>
      </c>
      <c r="L463" s="2">
        <v>0</v>
      </c>
      <c r="M463" s="1">
        <f t="shared" si="255"/>
        <v>0</v>
      </c>
      <c r="N463" s="1">
        <v>0</v>
      </c>
      <c r="O463" s="1">
        <v>0</v>
      </c>
      <c r="P463" s="1">
        <v>0</v>
      </c>
      <c r="Q463" s="1">
        <f t="shared" si="256"/>
        <v>0</v>
      </c>
      <c r="R463" s="1">
        <v>643</v>
      </c>
      <c r="S463" s="1">
        <f t="shared" si="257"/>
        <v>2411893</v>
      </c>
      <c r="T463" s="1">
        <v>0</v>
      </c>
      <c r="U463" s="1">
        <v>50000</v>
      </c>
      <c r="V463" s="1">
        <v>0</v>
      </c>
      <c r="W463" s="1">
        <v>50000</v>
      </c>
      <c r="X463" s="1">
        <v>0</v>
      </c>
      <c r="Y463" s="1">
        <v>0</v>
      </c>
      <c r="Z463" s="1">
        <v>0</v>
      </c>
      <c r="AA463" s="1">
        <v>0</v>
      </c>
      <c r="AB463" s="1">
        <v>0</v>
      </c>
      <c r="AC463" s="1">
        <v>0</v>
      </c>
      <c r="AD463" s="1">
        <v>0</v>
      </c>
    </row>
    <row r="464" spans="1:30" s="20" customFormat="1" ht="36" customHeight="1" x14ac:dyDescent="0.25">
      <c r="A464" s="2">
        <f t="shared" si="254"/>
        <v>436</v>
      </c>
      <c r="B464" s="6">
        <f t="shared" si="284"/>
        <v>436</v>
      </c>
      <c r="C464" s="30" t="s">
        <v>284</v>
      </c>
      <c r="D464" s="4">
        <f t="shared" si="312"/>
        <v>5076285.25</v>
      </c>
      <c r="E464" s="1">
        <f t="shared" si="258"/>
        <v>3723451.2499999995</v>
      </c>
      <c r="F464" s="1">
        <f>804*948.65</f>
        <v>762714.6</v>
      </c>
      <c r="G464" s="1">
        <f>1693*948.65</f>
        <v>1606064.45</v>
      </c>
      <c r="H464" s="1">
        <f>390*948.65</f>
        <v>369973.5</v>
      </c>
      <c r="I464" s="1">
        <f>571*948.65</f>
        <v>541679.15</v>
      </c>
      <c r="J464" s="1">
        <f>467*948.65</f>
        <v>443019.55</v>
      </c>
      <c r="K464" s="1">
        <v>0</v>
      </c>
      <c r="L464" s="2">
        <v>0</v>
      </c>
      <c r="M464" s="1">
        <f t="shared" si="255"/>
        <v>0</v>
      </c>
      <c r="N464" s="1">
        <v>0</v>
      </c>
      <c r="O464" s="1">
        <v>0</v>
      </c>
      <c r="P464" s="1">
        <v>0</v>
      </c>
      <c r="Q464" s="1">
        <f t="shared" si="256"/>
        <v>0</v>
      </c>
      <c r="R464" s="1">
        <v>334</v>
      </c>
      <c r="S464" s="1">
        <f t="shared" si="257"/>
        <v>1252834</v>
      </c>
      <c r="T464" s="1">
        <v>0</v>
      </c>
      <c r="U464" s="1">
        <v>50000</v>
      </c>
      <c r="V464" s="1">
        <v>0</v>
      </c>
      <c r="W464" s="1">
        <v>50000</v>
      </c>
      <c r="X464" s="1">
        <v>0</v>
      </c>
      <c r="Y464" s="1">
        <v>0</v>
      </c>
      <c r="Z464" s="1">
        <v>0</v>
      </c>
      <c r="AA464" s="1">
        <v>0</v>
      </c>
      <c r="AB464" s="1">
        <v>0</v>
      </c>
      <c r="AC464" s="1">
        <v>0</v>
      </c>
      <c r="AD464" s="1">
        <v>0</v>
      </c>
    </row>
    <row r="465" spans="1:30" s="20" customFormat="1" ht="36" customHeight="1" x14ac:dyDescent="0.25">
      <c r="A465" s="2">
        <f t="shared" si="254"/>
        <v>437</v>
      </c>
      <c r="B465" s="6">
        <f t="shared" si="284"/>
        <v>437</v>
      </c>
      <c r="C465" s="30" t="s">
        <v>285</v>
      </c>
      <c r="D465" s="4">
        <f t="shared" si="312"/>
        <v>2908130</v>
      </c>
      <c r="E465" s="1">
        <f t="shared" si="258"/>
        <v>1982909.9999999998</v>
      </c>
      <c r="F465" s="1">
        <f>804*505.2</f>
        <v>406180.8</v>
      </c>
      <c r="G465" s="1">
        <f>1693*505.2</f>
        <v>855303.6</v>
      </c>
      <c r="H465" s="1">
        <f>390*505.2</f>
        <v>197028</v>
      </c>
      <c r="I465" s="1">
        <f>571*505.2</f>
        <v>288469.2</v>
      </c>
      <c r="J465" s="1">
        <f>467*505.2</f>
        <v>235928.4</v>
      </c>
      <c r="K465" s="1">
        <v>0</v>
      </c>
      <c r="L465" s="2">
        <v>0</v>
      </c>
      <c r="M465" s="1">
        <f t="shared" si="255"/>
        <v>0</v>
      </c>
      <c r="N465" s="1">
        <v>0</v>
      </c>
      <c r="O465" s="1">
        <v>0</v>
      </c>
      <c r="P465" s="1">
        <v>0</v>
      </c>
      <c r="Q465" s="1">
        <f t="shared" si="256"/>
        <v>0</v>
      </c>
      <c r="R465" s="1">
        <v>220</v>
      </c>
      <c r="S465" s="1">
        <f t="shared" si="257"/>
        <v>825220</v>
      </c>
      <c r="T465" s="1">
        <v>0</v>
      </c>
      <c r="U465" s="1">
        <v>50000</v>
      </c>
      <c r="V465" s="1">
        <v>0</v>
      </c>
      <c r="W465" s="1">
        <v>50000</v>
      </c>
      <c r="X465" s="1">
        <v>0</v>
      </c>
      <c r="Y465" s="1">
        <v>0</v>
      </c>
      <c r="Z465" s="1">
        <v>0</v>
      </c>
      <c r="AA465" s="1">
        <v>0</v>
      </c>
      <c r="AB465" s="1">
        <v>0</v>
      </c>
      <c r="AC465" s="1">
        <v>0</v>
      </c>
      <c r="AD465" s="1">
        <v>0</v>
      </c>
    </row>
    <row r="466" spans="1:30" s="20" customFormat="1" ht="36" customHeight="1" x14ac:dyDescent="0.25">
      <c r="A466" s="2">
        <f t="shared" si="303"/>
        <v>438</v>
      </c>
      <c r="B466" s="6">
        <f t="shared" si="284"/>
        <v>438</v>
      </c>
      <c r="C466" s="19" t="s">
        <v>287</v>
      </c>
      <c r="D466" s="4">
        <f t="shared" si="312"/>
        <v>15045285.25</v>
      </c>
      <c r="E466" s="1">
        <f t="shared" si="258"/>
        <v>10256535.25</v>
      </c>
      <c r="F466" s="1">
        <f>804*2613.13</f>
        <v>2100956.52</v>
      </c>
      <c r="G466" s="1">
        <f>1693*2613.13</f>
        <v>4424029.09</v>
      </c>
      <c r="H466" s="1">
        <f>390*2613.13</f>
        <v>1019120.7000000001</v>
      </c>
      <c r="I466" s="1">
        <f>571*2613.13</f>
        <v>1492097.23</v>
      </c>
      <c r="J466" s="1">
        <f>467*2613.13</f>
        <v>1220331.71</v>
      </c>
      <c r="K466" s="1">
        <v>0</v>
      </c>
      <c r="L466" s="2">
        <v>0</v>
      </c>
      <c r="M466" s="1">
        <f t="shared" si="255"/>
        <v>0</v>
      </c>
      <c r="N466" s="1">
        <v>0</v>
      </c>
      <c r="O466" s="1">
        <v>0</v>
      </c>
      <c r="P466" s="1">
        <v>0</v>
      </c>
      <c r="Q466" s="1">
        <f t="shared" si="256"/>
        <v>0</v>
      </c>
      <c r="R466" s="1">
        <v>1250</v>
      </c>
      <c r="S466" s="1">
        <f t="shared" si="257"/>
        <v>4688750</v>
      </c>
      <c r="T466" s="1">
        <v>0</v>
      </c>
      <c r="U466" s="1">
        <v>50000</v>
      </c>
      <c r="V466" s="1">
        <v>0</v>
      </c>
      <c r="W466" s="1">
        <v>50000</v>
      </c>
      <c r="X466" s="1">
        <v>0</v>
      </c>
      <c r="Y466" s="1">
        <v>0</v>
      </c>
      <c r="Z466" s="1">
        <v>0</v>
      </c>
      <c r="AA466" s="1">
        <v>0</v>
      </c>
      <c r="AB466" s="1">
        <v>0</v>
      </c>
      <c r="AC466" s="1">
        <v>0</v>
      </c>
      <c r="AD466" s="1">
        <v>0</v>
      </c>
    </row>
    <row r="467" spans="1:30" s="20" customFormat="1" ht="36" customHeight="1" x14ac:dyDescent="0.25">
      <c r="A467" s="2">
        <f t="shared" si="303"/>
        <v>439</v>
      </c>
      <c r="B467" s="2">
        <f t="shared" si="284"/>
        <v>439</v>
      </c>
      <c r="C467" s="19" t="s">
        <v>288</v>
      </c>
      <c r="D467" s="39">
        <f t="shared" si="312"/>
        <v>4402785</v>
      </c>
      <c r="E467" s="1">
        <f t="shared" si="258"/>
        <v>2614835</v>
      </c>
      <c r="F467" s="1">
        <f>804*666.2</f>
        <v>535624.80000000005</v>
      </c>
      <c r="G467" s="1">
        <f>1693*666.2</f>
        <v>1127876.6000000001</v>
      </c>
      <c r="H467" s="1">
        <f>390*666.2</f>
        <v>259818.00000000003</v>
      </c>
      <c r="I467" s="1">
        <f>571*666.2</f>
        <v>380400.2</v>
      </c>
      <c r="J467" s="1">
        <f>467*666.2</f>
        <v>311115.40000000002</v>
      </c>
      <c r="K467" s="1">
        <v>0</v>
      </c>
      <c r="L467" s="2">
        <v>0</v>
      </c>
      <c r="M467" s="1">
        <f t="shared" si="255"/>
        <v>0</v>
      </c>
      <c r="N467" s="1">
        <v>0</v>
      </c>
      <c r="O467" s="1">
        <v>0</v>
      </c>
      <c r="P467" s="1">
        <v>0</v>
      </c>
      <c r="Q467" s="1">
        <f t="shared" si="256"/>
        <v>0</v>
      </c>
      <c r="R467" s="1">
        <v>450</v>
      </c>
      <c r="S467" s="1">
        <f t="shared" si="257"/>
        <v>1687950</v>
      </c>
      <c r="T467" s="1">
        <v>0</v>
      </c>
      <c r="U467" s="1">
        <v>50000</v>
      </c>
      <c r="V467" s="1">
        <v>0</v>
      </c>
      <c r="W467" s="1">
        <v>50000</v>
      </c>
      <c r="X467" s="1">
        <v>0</v>
      </c>
      <c r="Y467" s="1">
        <v>0</v>
      </c>
      <c r="Z467" s="1">
        <v>0</v>
      </c>
      <c r="AA467" s="1">
        <v>0</v>
      </c>
      <c r="AB467" s="1">
        <v>0</v>
      </c>
      <c r="AC467" s="1">
        <v>0</v>
      </c>
      <c r="AD467" s="1">
        <v>0</v>
      </c>
    </row>
    <row r="468" spans="1:30" s="20" customFormat="1" ht="36" customHeight="1" x14ac:dyDescent="0.25">
      <c r="A468" s="2">
        <f t="shared" si="303"/>
        <v>440</v>
      </c>
      <c r="B468" s="2">
        <f t="shared" si="284"/>
        <v>440</v>
      </c>
      <c r="C468" s="19" t="s">
        <v>289</v>
      </c>
      <c r="D468" s="39">
        <f t="shared" si="312"/>
        <v>2971152.5</v>
      </c>
      <c r="E468" s="1">
        <f t="shared" si="258"/>
        <v>2008422.4999999998</v>
      </c>
      <c r="F468" s="1">
        <f>804*511.7</f>
        <v>411406.8</v>
      </c>
      <c r="G468" s="1">
        <f>1693*511.7</f>
        <v>866308.1</v>
      </c>
      <c r="H468" s="1">
        <f>390*511.7</f>
        <v>199563</v>
      </c>
      <c r="I468" s="1">
        <f>571*511.7</f>
        <v>292180.7</v>
      </c>
      <c r="J468" s="1">
        <f>467*511.7</f>
        <v>238963.9</v>
      </c>
      <c r="K468" s="1">
        <v>0</v>
      </c>
      <c r="L468" s="2">
        <v>0</v>
      </c>
      <c r="M468" s="1">
        <f t="shared" si="255"/>
        <v>0</v>
      </c>
      <c r="N468" s="1">
        <v>0</v>
      </c>
      <c r="O468" s="1">
        <v>0</v>
      </c>
      <c r="P468" s="1">
        <v>0</v>
      </c>
      <c r="Q468" s="1">
        <f t="shared" si="256"/>
        <v>0</v>
      </c>
      <c r="R468" s="1">
        <v>230</v>
      </c>
      <c r="S468" s="1">
        <f t="shared" si="257"/>
        <v>862730</v>
      </c>
      <c r="T468" s="1">
        <v>0</v>
      </c>
      <c r="U468" s="1">
        <v>50000</v>
      </c>
      <c r="V468" s="1">
        <v>0</v>
      </c>
      <c r="W468" s="1">
        <v>50000</v>
      </c>
      <c r="X468" s="1">
        <v>0</v>
      </c>
      <c r="Y468" s="1">
        <v>0</v>
      </c>
      <c r="Z468" s="1">
        <v>0</v>
      </c>
      <c r="AA468" s="1">
        <v>0</v>
      </c>
      <c r="AB468" s="1">
        <v>0</v>
      </c>
      <c r="AC468" s="1">
        <v>0</v>
      </c>
      <c r="AD468" s="1">
        <v>0</v>
      </c>
    </row>
    <row r="469" spans="1:30" s="20" customFormat="1" ht="36" customHeight="1" x14ac:dyDescent="0.25">
      <c r="A469" s="2">
        <f t="shared" si="303"/>
        <v>441</v>
      </c>
      <c r="B469" s="6">
        <f>A469</f>
        <v>441</v>
      </c>
      <c r="C469" s="19" t="s">
        <v>2245</v>
      </c>
      <c r="D469" s="4">
        <f t="shared" si="312"/>
        <v>7200000</v>
      </c>
      <c r="E469" s="1">
        <f>SUM(F469:K469)</f>
        <v>0</v>
      </c>
      <c r="F469" s="1">
        <v>0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2">
        <v>2</v>
      </c>
      <c r="M469" s="1">
        <f>L469*3500000</f>
        <v>7000000</v>
      </c>
      <c r="N469" s="1">
        <v>0</v>
      </c>
      <c r="O469" s="1">
        <v>0</v>
      </c>
      <c r="P469" s="1">
        <v>0</v>
      </c>
      <c r="Q469" s="1">
        <f>P469*1400</f>
        <v>0</v>
      </c>
      <c r="R469" s="1">
        <v>0</v>
      </c>
      <c r="S469" s="1">
        <f>R469*3751</f>
        <v>0</v>
      </c>
      <c r="T469" s="1">
        <v>0</v>
      </c>
      <c r="U469" s="1">
        <v>200000</v>
      </c>
      <c r="V469" s="1">
        <v>0</v>
      </c>
      <c r="W469" s="1">
        <v>0</v>
      </c>
      <c r="X469" s="1">
        <v>0</v>
      </c>
      <c r="Y469" s="1">
        <v>0</v>
      </c>
      <c r="Z469" s="1">
        <v>0</v>
      </c>
      <c r="AA469" s="1">
        <v>0</v>
      </c>
      <c r="AB469" s="1">
        <v>0</v>
      </c>
      <c r="AC469" s="1">
        <v>0</v>
      </c>
      <c r="AD469" s="1">
        <v>0</v>
      </c>
    </row>
    <row r="470" spans="1:30" s="20" customFormat="1" ht="36" customHeight="1" x14ac:dyDescent="0.25">
      <c r="A470" s="2">
        <f t="shared" si="303"/>
        <v>442</v>
      </c>
      <c r="B470" s="6">
        <f>A470</f>
        <v>442</v>
      </c>
      <c r="C470" s="19" t="s">
        <v>2244</v>
      </c>
      <c r="D470" s="4">
        <f t="shared" si="312"/>
        <v>10700000</v>
      </c>
      <c r="E470" s="1">
        <f>SUM(F470:K470)</f>
        <v>0</v>
      </c>
      <c r="F470" s="1"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2">
        <v>3</v>
      </c>
      <c r="M470" s="1">
        <f>L470*3500000</f>
        <v>10500000</v>
      </c>
      <c r="N470" s="1">
        <v>0</v>
      </c>
      <c r="O470" s="1">
        <v>0</v>
      </c>
      <c r="P470" s="1">
        <v>0</v>
      </c>
      <c r="Q470" s="1">
        <f>P470*1400</f>
        <v>0</v>
      </c>
      <c r="R470" s="1">
        <v>0</v>
      </c>
      <c r="S470" s="1">
        <f>R470*3751</f>
        <v>0</v>
      </c>
      <c r="T470" s="1">
        <v>0</v>
      </c>
      <c r="U470" s="1">
        <v>200000</v>
      </c>
      <c r="V470" s="1">
        <v>0</v>
      </c>
      <c r="W470" s="1">
        <v>0</v>
      </c>
      <c r="X470" s="1">
        <v>0</v>
      </c>
      <c r="Y470" s="1">
        <v>0</v>
      </c>
      <c r="Z470" s="1">
        <v>0</v>
      </c>
      <c r="AA470" s="1">
        <v>0</v>
      </c>
      <c r="AB470" s="1">
        <v>0</v>
      </c>
      <c r="AC470" s="1">
        <v>0</v>
      </c>
      <c r="AD470" s="1">
        <v>0</v>
      </c>
    </row>
    <row r="471" spans="1:30" s="20" customFormat="1" ht="36" customHeight="1" x14ac:dyDescent="0.25">
      <c r="A471" s="2">
        <f t="shared" si="303"/>
        <v>443</v>
      </c>
      <c r="B471" s="6">
        <f t="shared" si="284"/>
        <v>443</v>
      </c>
      <c r="C471" s="19" t="s">
        <v>290</v>
      </c>
      <c r="D471" s="4">
        <f t="shared" si="312"/>
        <v>2549085</v>
      </c>
      <c r="E471" s="1">
        <f t="shared" si="258"/>
        <v>1211255</v>
      </c>
      <c r="F471" s="1">
        <f>804*308.6</f>
        <v>248114.40000000002</v>
      </c>
      <c r="G471" s="1">
        <f>1693*308.6</f>
        <v>522459.80000000005</v>
      </c>
      <c r="H471" s="1">
        <f>390*308.6</f>
        <v>120354.00000000001</v>
      </c>
      <c r="I471" s="1">
        <f>571*308.6</f>
        <v>176210.6</v>
      </c>
      <c r="J471" s="1">
        <f>467*308.6</f>
        <v>144116.20000000001</v>
      </c>
      <c r="K471" s="1">
        <v>0</v>
      </c>
      <c r="L471" s="2">
        <v>0</v>
      </c>
      <c r="M471" s="1">
        <f t="shared" si="255"/>
        <v>0</v>
      </c>
      <c r="N471" s="1">
        <v>0</v>
      </c>
      <c r="O471" s="1">
        <v>0</v>
      </c>
      <c r="P471" s="1">
        <v>0</v>
      </c>
      <c r="Q471" s="1">
        <f t="shared" si="256"/>
        <v>0</v>
      </c>
      <c r="R471" s="1">
        <v>330</v>
      </c>
      <c r="S471" s="1">
        <f t="shared" si="257"/>
        <v>1237830</v>
      </c>
      <c r="T471" s="1">
        <v>0</v>
      </c>
      <c r="U471" s="1">
        <v>50000</v>
      </c>
      <c r="V471" s="1">
        <v>0</v>
      </c>
      <c r="W471" s="1">
        <v>50000</v>
      </c>
      <c r="X471" s="1">
        <v>0</v>
      </c>
      <c r="Y471" s="1">
        <v>0</v>
      </c>
      <c r="Z471" s="1">
        <v>0</v>
      </c>
      <c r="AA471" s="1">
        <v>0</v>
      </c>
      <c r="AB471" s="1">
        <v>0</v>
      </c>
      <c r="AC471" s="1">
        <v>0</v>
      </c>
      <c r="AD471" s="1">
        <v>0</v>
      </c>
    </row>
    <row r="472" spans="1:30" s="20" customFormat="1" ht="36" customHeight="1" x14ac:dyDescent="0.25">
      <c r="A472" s="2">
        <f t="shared" si="303"/>
        <v>444</v>
      </c>
      <c r="B472" s="6">
        <f>A472</f>
        <v>444</v>
      </c>
      <c r="C472" s="19" t="s">
        <v>846</v>
      </c>
      <c r="D472" s="4">
        <f t="shared" si="312"/>
        <v>5010203.12</v>
      </c>
      <c r="E472" s="1">
        <f>SUM(F472:K472)</f>
        <v>345543.12</v>
      </c>
      <c r="F472" s="1">
        <f>804*429.78</f>
        <v>345543.12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2">
        <v>0</v>
      </c>
      <c r="M472" s="1">
        <v>0</v>
      </c>
      <c r="N472" s="1">
        <v>397</v>
      </c>
      <c r="O472" s="1">
        <f>N472*7750</f>
        <v>3076750</v>
      </c>
      <c r="P472" s="1">
        <v>0</v>
      </c>
      <c r="Q472" s="1">
        <f>P472*1400</f>
        <v>0</v>
      </c>
      <c r="R472" s="1">
        <v>410</v>
      </c>
      <c r="S472" s="1">
        <f>R472*3751</f>
        <v>1537910</v>
      </c>
      <c r="T472" s="1">
        <v>0</v>
      </c>
      <c r="U472" s="1">
        <v>50000</v>
      </c>
      <c r="V472" s="1">
        <v>0</v>
      </c>
      <c r="W472" s="1">
        <v>0</v>
      </c>
      <c r="X472" s="1">
        <v>0</v>
      </c>
      <c r="Y472" s="1">
        <v>0</v>
      </c>
      <c r="Z472" s="1">
        <v>0</v>
      </c>
      <c r="AA472" s="1">
        <v>0</v>
      </c>
      <c r="AB472" s="1">
        <v>0</v>
      </c>
      <c r="AC472" s="1">
        <v>0</v>
      </c>
      <c r="AD472" s="1">
        <v>0</v>
      </c>
    </row>
    <row r="473" spans="1:30" s="20" customFormat="1" ht="36" customHeight="1" x14ac:dyDescent="0.25">
      <c r="A473" s="2">
        <f t="shared" si="303"/>
        <v>445</v>
      </c>
      <c r="B473" s="6">
        <f>A473</f>
        <v>445</v>
      </c>
      <c r="C473" s="19" t="s">
        <v>847</v>
      </c>
      <c r="D473" s="4">
        <f t="shared" si="312"/>
        <v>5821047.1200000001</v>
      </c>
      <c r="E473" s="1">
        <f>SUM(F473:K473)</f>
        <v>404637.12</v>
      </c>
      <c r="F473" s="1">
        <f>804*503.28</f>
        <v>404637.12</v>
      </c>
      <c r="G473" s="1">
        <v>0</v>
      </c>
      <c r="H473" s="1">
        <v>0</v>
      </c>
      <c r="I473" s="1">
        <v>0</v>
      </c>
      <c r="J473" s="1">
        <v>0</v>
      </c>
      <c r="K473" s="1">
        <v>0</v>
      </c>
      <c r="L473" s="2">
        <v>0</v>
      </c>
      <c r="M473" s="1">
        <v>0</v>
      </c>
      <c r="N473" s="1">
        <v>494</v>
      </c>
      <c r="O473" s="1">
        <f>N473*7750</f>
        <v>3828500</v>
      </c>
      <c r="P473" s="1">
        <v>0</v>
      </c>
      <c r="Q473" s="1">
        <f>P473*1400</f>
        <v>0</v>
      </c>
      <c r="R473" s="1">
        <v>410</v>
      </c>
      <c r="S473" s="1">
        <f>R473*3751</f>
        <v>1537910</v>
      </c>
      <c r="T473" s="1">
        <v>0</v>
      </c>
      <c r="U473" s="1">
        <v>50000</v>
      </c>
      <c r="V473" s="1">
        <v>0</v>
      </c>
      <c r="W473" s="1">
        <v>0</v>
      </c>
      <c r="X473" s="1">
        <v>0</v>
      </c>
      <c r="Y473" s="1">
        <v>0</v>
      </c>
      <c r="Z473" s="1">
        <v>0</v>
      </c>
      <c r="AA473" s="1">
        <v>0</v>
      </c>
      <c r="AB473" s="1">
        <v>0</v>
      </c>
      <c r="AC473" s="1">
        <v>0</v>
      </c>
      <c r="AD473" s="1">
        <v>0</v>
      </c>
    </row>
    <row r="474" spans="1:30" s="20" customFormat="1" ht="36" customHeight="1" x14ac:dyDescent="0.25">
      <c r="A474" s="2">
        <f t="shared" si="303"/>
        <v>446</v>
      </c>
      <c r="B474" s="6">
        <f t="shared" si="284"/>
        <v>446</v>
      </c>
      <c r="C474" s="19" t="s">
        <v>291</v>
      </c>
      <c r="D474" s="4">
        <f t="shared" si="312"/>
        <v>5360169.75</v>
      </c>
      <c r="E474" s="1">
        <f t="shared" si="258"/>
        <v>4134869.75</v>
      </c>
      <c r="F474" s="1">
        <f>804*1053.47</f>
        <v>846989.88</v>
      </c>
      <c r="G474" s="1">
        <f>1693*1053.47</f>
        <v>1783524.71</v>
      </c>
      <c r="H474" s="1">
        <f>390*1053.47</f>
        <v>410853.3</v>
      </c>
      <c r="I474" s="1">
        <f>571*1053.47</f>
        <v>601531.37</v>
      </c>
      <c r="J474" s="1">
        <f>467*1053.47</f>
        <v>491970.49</v>
      </c>
      <c r="K474" s="1">
        <v>0</v>
      </c>
      <c r="L474" s="2">
        <v>0</v>
      </c>
      <c r="M474" s="1">
        <f t="shared" si="255"/>
        <v>0</v>
      </c>
      <c r="N474" s="1">
        <v>0</v>
      </c>
      <c r="O474" s="1">
        <v>0</v>
      </c>
      <c r="P474" s="1">
        <v>0</v>
      </c>
      <c r="Q474" s="1">
        <f t="shared" si="256"/>
        <v>0</v>
      </c>
      <c r="R474" s="1">
        <v>300</v>
      </c>
      <c r="S474" s="1">
        <f t="shared" si="257"/>
        <v>1125300</v>
      </c>
      <c r="T474" s="1">
        <v>0</v>
      </c>
      <c r="U474" s="1">
        <v>50000</v>
      </c>
      <c r="V474" s="1">
        <v>0</v>
      </c>
      <c r="W474" s="1">
        <v>50000</v>
      </c>
      <c r="X474" s="1">
        <v>0</v>
      </c>
      <c r="Y474" s="1">
        <v>0</v>
      </c>
      <c r="Z474" s="1">
        <v>0</v>
      </c>
      <c r="AA474" s="1">
        <v>0</v>
      </c>
      <c r="AB474" s="1">
        <v>0</v>
      </c>
      <c r="AC474" s="1">
        <v>0</v>
      </c>
      <c r="AD474" s="1">
        <v>0</v>
      </c>
    </row>
    <row r="475" spans="1:30" s="20" customFormat="1" ht="36" customHeight="1" x14ac:dyDescent="0.25">
      <c r="A475" s="2">
        <f t="shared" si="303"/>
        <v>447</v>
      </c>
      <c r="B475" s="6">
        <f t="shared" si="284"/>
        <v>447</v>
      </c>
      <c r="C475" s="19" t="s">
        <v>850</v>
      </c>
      <c r="D475" s="4">
        <f>E475+M475+O475+Q475+S475+T475+U475+V475+X475+W475+Z475+AA475+AB475+AC475+AD475</f>
        <v>11538200</v>
      </c>
      <c r="E475" s="1">
        <f t="shared" si="258"/>
        <v>0</v>
      </c>
      <c r="F475" s="1">
        <v>0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2">
        <v>0</v>
      </c>
      <c r="M475" s="1">
        <v>0</v>
      </c>
      <c r="N475" s="1">
        <v>1150</v>
      </c>
      <c r="O475" s="1">
        <f>N475*7750</f>
        <v>8912500</v>
      </c>
      <c r="P475" s="1">
        <v>0</v>
      </c>
      <c r="Q475" s="1">
        <f t="shared" si="256"/>
        <v>0</v>
      </c>
      <c r="R475" s="1">
        <v>700</v>
      </c>
      <c r="S475" s="1">
        <f t="shared" si="257"/>
        <v>2625700</v>
      </c>
      <c r="T475" s="1">
        <v>0</v>
      </c>
      <c r="U475" s="1">
        <v>0</v>
      </c>
      <c r="V475" s="1">
        <v>0</v>
      </c>
      <c r="W475" s="1">
        <v>0</v>
      </c>
      <c r="X475" s="1">
        <v>0</v>
      </c>
      <c r="Y475" s="1">
        <v>0</v>
      </c>
      <c r="Z475" s="1">
        <v>0</v>
      </c>
      <c r="AA475" s="1">
        <v>0</v>
      </c>
      <c r="AB475" s="1">
        <v>0</v>
      </c>
      <c r="AC475" s="1">
        <v>0</v>
      </c>
      <c r="AD475" s="1">
        <v>0</v>
      </c>
    </row>
    <row r="476" spans="1:30" s="20" customFormat="1" ht="36" customHeight="1" x14ac:dyDescent="0.25">
      <c r="A476" s="2">
        <f t="shared" si="303"/>
        <v>448</v>
      </c>
      <c r="B476" s="6">
        <f t="shared" si="284"/>
        <v>448</v>
      </c>
      <c r="C476" s="19" t="s">
        <v>1720</v>
      </c>
      <c r="D476" s="4">
        <f t="shared" ref="D476:D481" si="319">E476+M476+O476+Q476+S476+T476+U476+V476+W476+X476+Z476+AA476+AB476+AC476+AD476</f>
        <v>14200000</v>
      </c>
      <c r="E476" s="1">
        <f t="shared" si="258"/>
        <v>0</v>
      </c>
      <c r="F476" s="1"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2">
        <v>4</v>
      </c>
      <c r="M476" s="1">
        <f t="shared" si="255"/>
        <v>14000000</v>
      </c>
      <c r="N476" s="1">
        <v>0</v>
      </c>
      <c r="O476" s="1">
        <v>0</v>
      </c>
      <c r="P476" s="1">
        <v>0</v>
      </c>
      <c r="Q476" s="1">
        <f t="shared" si="256"/>
        <v>0</v>
      </c>
      <c r="R476" s="1">
        <v>0</v>
      </c>
      <c r="S476" s="1">
        <f t="shared" si="257"/>
        <v>0</v>
      </c>
      <c r="T476" s="1">
        <v>0</v>
      </c>
      <c r="U476" s="1">
        <v>200000</v>
      </c>
      <c r="V476" s="1">
        <v>0</v>
      </c>
      <c r="W476" s="1">
        <v>0</v>
      </c>
      <c r="X476" s="1">
        <v>0</v>
      </c>
      <c r="Y476" s="1">
        <v>0</v>
      </c>
      <c r="Z476" s="1">
        <v>0</v>
      </c>
      <c r="AA476" s="1">
        <v>0</v>
      </c>
      <c r="AB476" s="1">
        <v>0</v>
      </c>
      <c r="AC476" s="1">
        <v>0</v>
      </c>
      <c r="AD476" s="1">
        <v>0</v>
      </c>
    </row>
    <row r="477" spans="1:30" s="20" customFormat="1" ht="36" customHeight="1" x14ac:dyDescent="0.25">
      <c r="A477" s="2">
        <f t="shared" si="303"/>
        <v>449</v>
      </c>
      <c r="B477" s="6">
        <f>A477</f>
        <v>449</v>
      </c>
      <c r="C477" s="19" t="s">
        <v>1721</v>
      </c>
      <c r="D477" s="4">
        <f t="shared" si="319"/>
        <v>3700000</v>
      </c>
      <c r="E477" s="1">
        <f>SUM(F477:K477)</f>
        <v>0</v>
      </c>
      <c r="F477" s="1">
        <v>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2">
        <v>1</v>
      </c>
      <c r="M477" s="1">
        <f t="shared" si="255"/>
        <v>3500000</v>
      </c>
      <c r="N477" s="1">
        <v>0</v>
      </c>
      <c r="O477" s="1">
        <v>0</v>
      </c>
      <c r="P477" s="1">
        <v>0</v>
      </c>
      <c r="Q477" s="1">
        <f>P477*1400</f>
        <v>0</v>
      </c>
      <c r="R477" s="1">
        <v>0</v>
      </c>
      <c r="S477" s="1">
        <f>R477*3751</f>
        <v>0</v>
      </c>
      <c r="T477" s="1">
        <v>0</v>
      </c>
      <c r="U477" s="1">
        <v>200000</v>
      </c>
      <c r="V477" s="1">
        <v>0</v>
      </c>
      <c r="W477" s="1">
        <v>0</v>
      </c>
      <c r="X477" s="1">
        <v>0</v>
      </c>
      <c r="Y477" s="1">
        <v>0</v>
      </c>
      <c r="Z477" s="1">
        <v>0</v>
      </c>
      <c r="AA477" s="1">
        <v>0</v>
      </c>
      <c r="AB477" s="1">
        <v>0</v>
      </c>
      <c r="AC477" s="1">
        <v>0</v>
      </c>
      <c r="AD477" s="1">
        <v>0</v>
      </c>
    </row>
    <row r="478" spans="1:30" s="20" customFormat="1" ht="36" customHeight="1" x14ac:dyDescent="0.25">
      <c r="A478" s="2">
        <f t="shared" si="303"/>
        <v>450</v>
      </c>
      <c r="B478" s="6">
        <f t="shared" si="284"/>
        <v>450</v>
      </c>
      <c r="C478" s="19" t="s">
        <v>292</v>
      </c>
      <c r="D478" s="4">
        <f t="shared" si="319"/>
        <v>3110607.4999999995</v>
      </c>
      <c r="E478" s="1">
        <f t="shared" si="258"/>
        <v>2260407.4999999995</v>
      </c>
      <c r="F478" s="1">
        <f>804*575.9</f>
        <v>463023.6</v>
      </c>
      <c r="G478" s="1">
        <f>1693*575.9</f>
        <v>974998.7</v>
      </c>
      <c r="H478" s="1">
        <f>390*575.9</f>
        <v>224601</v>
      </c>
      <c r="I478" s="1">
        <f>571*575.9</f>
        <v>328838.89999999997</v>
      </c>
      <c r="J478" s="1">
        <f>467*575.9</f>
        <v>268945.3</v>
      </c>
      <c r="K478" s="1">
        <v>0</v>
      </c>
      <c r="L478" s="2">
        <v>0</v>
      </c>
      <c r="M478" s="1">
        <f t="shared" si="255"/>
        <v>0</v>
      </c>
      <c r="N478" s="1">
        <v>0</v>
      </c>
      <c r="O478" s="1">
        <v>0</v>
      </c>
      <c r="P478" s="1">
        <v>0</v>
      </c>
      <c r="Q478" s="1">
        <f t="shared" si="256"/>
        <v>0</v>
      </c>
      <c r="R478" s="1">
        <v>200</v>
      </c>
      <c r="S478" s="1">
        <f t="shared" si="257"/>
        <v>750200</v>
      </c>
      <c r="T478" s="1">
        <v>0</v>
      </c>
      <c r="U478" s="1">
        <v>50000</v>
      </c>
      <c r="V478" s="1">
        <v>0</v>
      </c>
      <c r="W478" s="1">
        <v>50000</v>
      </c>
      <c r="X478" s="1">
        <v>0</v>
      </c>
      <c r="Y478" s="1">
        <v>0</v>
      </c>
      <c r="Z478" s="1">
        <v>0</v>
      </c>
      <c r="AA478" s="1">
        <v>0</v>
      </c>
      <c r="AB478" s="1">
        <v>0</v>
      </c>
      <c r="AC478" s="1">
        <v>0</v>
      </c>
      <c r="AD478" s="1">
        <v>0</v>
      </c>
    </row>
    <row r="479" spans="1:30" s="20" customFormat="1" ht="36" customHeight="1" x14ac:dyDescent="0.25">
      <c r="A479" s="2">
        <f t="shared" si="303"/>
        <v>451</v>
      </c>
      <c r="B479" s="6">
        <f t="shared" si="284"/>
        <v>451</v>
      </c>
      <c r="C479" s="19" t="s">
        <v>1722</v>
      </c>
      <c r="D479" s="4">
        <f t="shared" si="319"/>
        <v>42200000</v>
      </c>
      <c r="E479" s="1">
        <f t="shared" si="258"/>
        <v>0</v>
      </c>
      <c r="F479" s="1">
        <v>0</v>
      </c>
      <c r="G479" s="1">
        <v>0</v>
      </c>
      <c r="H479" s="1">
        <v>0</v>
      </c>
      <c r="I479" s="1">
        <v>0</v>
      </c>
      <c r="J479" s="1">
        <v>0</v>
      </c>
      <c r="K479" s="1">
        <v>0</v>
      </c>
      <c r="L479" s="2">
        <v>12</v>
      </c>
      <c r="M479" s="1">
        <f t="shared" si="255"/>
        <v>42000000</v>
      </c>
      <c r="N479" s="1">
        <v>0</v>
      </c>
      <c r="O479" s="1">
        <v>0</v>
      </c>
      <c r="P479" s="1">
        <v>0</v>
      </c>
      <c r="Q479" s="1">
        <f t="shared" si="256"/>
        <v>0</v>
      </c>
      <c r="R479" s="1">
        <v>0</v>
      </c>
      <c r="S479" s="1">
        <f t="shared" si="257"/>
        <v>0</v>
      </c>
      <c r="T479" s="1">
        <v>0</v>
      </c>
      <c r="U479" s="1">
        <v>200000</v>
      </c>
      <c r="V479" s="1">
        <v>0</v>
      </c>
      <c r="W479" s="1">
        <v>0</v>
      </c>
      <c r="X479" s="1">
        <v>0</v>
      </c>
      <c r="Y479" s="1">
        <v>0</v>
      </c>
      <c r="Z479" s="1">
        <v>0</v>
      </c>
      <c r="AA479" s="1">
        <v>0</v>
      </c>
      <c r="AB479" s="1">
        <v>0</v>
      </c>
      <c r="AC479" s="1">
        <v>0</v>
      </c>
      <c r="AD479" s="1">
        <v>0</v>
      </c>
    </row>
    <row r="480" spans="1:30" s="20" customFormat="1" ht="36" customHeight="1" x14ac:dyDescent="0.25">
      <c r="A480" s="2">
        <f t="shared" si="303"/>
        <v>452</v>
      </c>
      <c r="B480" s="6">
        <f>A480</f>
        <v>452</v>
      </c>
      <c r="C480" s="19" t="s">
        <v>2270</v>
      </c>
      <c r="D480" s="4">
        <f t="shared" si="319"/>
        <v>14200000</v>
      </c>
      <c r="E480" s="1">
        <f>SUM(F480:K480)</f>
        <v>0</v>
      </c>
      <c r="F480" s="1">
        <v>0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2">
        <v>4</v>
      </c>
      <c r="M480" s="1">
        <f t="shared" ref="M480" si="320">L480*3500000</f>
        <v>14000000</v>
      </c>
      <c r="N480" s="1">
        <v>0</v>
      </c>
      <c r="O480" s="1">
        <v>0</v>
      </c>
      <c r="P480" s="1">
        <v>0</v>
      </c>
      <c r="Q480" s="1">
        <f>P480*1400</f>
        <v>0</v>
      </c>
      <c r="R480" s="1">
        <v>0</v>
      </c>
      <c r="S480" s="1">
        <f>R480*3751</f>
        <v>0</v>
      </c>
      <c r="T480" s="1">
        <v>0</v>
      </c>
      <c r="U480" s="1">
        <v>200000</v>
      </c>
      <c r="V480" s="1">
        <v>0</v>
      </c>
      <c r="W480" s="1">
        <v>0</v>
      </c>
      <c r="X480" s="1">
        <v>0</v>
      </c>
      <c r="Y480" s="1">
        <v>0</v>
      </c>
      <c r="Z480" s="1">
        <v>0</v>
      </c>
      <c r="AA480" s="1">
        <v>0</v>
      </c>
      <c r="AB480" s="1">
        <v>0</v>
      </c>
      <c r="AC480" s="1">
        <v>0</v>
      </c>
      <c r="AD480" s="1">
        <v>0</v>
      </c>
    </row>
    <row r="481" spans="1:30" s="20" customFormat="1" ht="36" customHeight="1" x14ac:dyDescent="0.25">
      <c r="A481" s="2">
        <f t="shared" si="303"/>
        <v>453</v>
      </c>
      <c r="B481" s="6">
        <f t="shared" si="284"/>
        <v>453</v>
      </c>
      <c r="C481" s="19" t="s">
        <v>1723</v>
      </c>
      <c r="D481" s="4">
        <f t="shared" si="319"/>
        <v>3700000</v>
      </c>
      <c r="E481" s="1">
        <f t="shared" si="258"/>
        <v>0</v>
      </c>
      <c r="F481" s="1">
        <v>0</v>
      </c>
      <c r="G481" s="1">
        <v>0</v>
      </c>
      <c r="H481" s="1">
        <v>0</v>
      </c>
      <c r="I481" s="1">
        <v>0</v>
      </c>
      <c r="J481" s="1">
        <v>0</v>
      </c>
      <c r="K481" s="1">
        <v>0</v>
      </c>
      <c r="L481" s="2">
        <v>1</v>
      </c>
      <c r="M481" s="1">
        <f t="shared" si="255"/>
        <v>3500000</v>
      </c>
      <c r="N481" s="1">
        <v>0</v>
      </c>
      <c r="O481" s="1">
        <v>0</v>
      </c>
      <c r="P481" s="1">
        <v>0</v>
      </c>
      <c r="Q481" s="1">
        <f t="shared" si="256"/>
        <v>0</v>
      </c>
      <c r="R481" s="1">
        <v>0</v>
      </c>
      <c r="S481" s="1">
        <f t="shared" si="257"/>
        <v>0</v>
      </c>
      <c r="T481" s="1">
        <v>0</v>
      </c>
      <c r="U481" s="1">
        <v>200000</v>
      </c>
      <c r="V481" s="1">
        <v>0</v>
      </c>
      <c r="W481" s="1">
        <v>0</v>
      </c>
      <c r="X481" s="1">
        <v>0</v>
      </c>
      <c r="Y481" s="1">
        <v>0</v>
      </c>
      <c r="Z481" s="1">
        <v>0</v>
      </c>
      <c r="AA481" s="1">
        <v>0</v>
      </c>
      <c r="AB481" s="1">
        <v>0</v>
      </c>
      <c r="AC481" s="1">
        <v>0</v>
      </c>
      <c r="AD481" s="1">
        <v>0</v>
      </c>
    </row>
    <row r="482" spans="1:30" s="20" customFormat="1" ht="36" customHeight="1" x14ac:dyDescent="0.25">
      <c r="A482" s="2">
        <f t="shared" si="303"/>
        <v>454</v>
      </c>
      <c r="B482" s="6">
        <f t="shared" ref="B482" si="321">A482</f>
        <v>454</v>
      </c>
      <c r="C482" s="19" t="s">
        <v>868</v>
      </c>
      <c r="D482" s="4">
        <f>E482+M482+O482+Q482+S482+T482+U482+V482+X482+W482+Z482+AA482+AB482+AC482+AD482</f>
        <v>4448500</v>
      </c>
      <c r="E482" s="1">
        <f t="shared" ref="E482" si="322">SUM(F482:K482)</f>
        <v>0</v>
      </c>
      <c r="F482" s="1">
        <v>0</v>
      </c>
      <c r="G482" s="1">
        <v>0</v>
      </c>
      <c r="H482" s="1">
        <v>0</v>
      </c>
      <c r="I482" s="1">
        <v>0</v>
      </c>
      <c r="J482" s="1">
        <v>0</v>
      </c>
      <c r="K482" s="1">
        <v>0</v>
      </c>
      <c r="L482" s="2">
        <v>0</v>
      </c>
      <c r="M482" s="1">
        <v>0</v>
      </c>
      <c r="N482" s="1">
        <v>574</v>
      </c>
      <c r="O482" s="1">
        <f>N482*7750</f>
        <v>4448500</v>
      </c>
      <c r="P482" s="1">
        <v>0</v>
      </c>
      <c r="Q482" s="1">
        <f t="shared" ref="Q482" si="323">P482*1400</f>
        <v>0</v>
      </c>
      <c r="R482" s="1">
        <v>0</v>
      </c>
      <c r="S482" s="1">
        <f t="shared" ref="S482" si="324">R482*3751</f>
        <v>0</v>
      </c>
      <c r="T482" s="1">
        <v>0</v>
      </c>
      <c r="U482" s="1">
        <v>0</v>
      </c>
      <c r="V482" s="1">
        <v>0</v>
      </c>
      <c r="W482" s="1">
        <v>0</v>
      </c>
      <c r="X482" s="1">
        <v>0</v>
      </c>
      <c r="Y482" s="1">
        <v>0</v>
      </c>
      <c r="Z482" s="1">
        <v>0</v>
      </c>
      <c r="AA482" s="1">
        <v>0</v>
      </c>
      <c r="AB482" s="1">
        <v>0</v>
      </c>
      <c r="AC482" s="1">
        <v>0</v>
      </c>
      <c r="AD482" s="1">
        <v>0</v>
      </c>
    </row>
    <row r="483" spans="1:30" s="20" customFormat="1" ht="36" customHeight="1" x14ac:dyDescent="0.25">
      <c r="A483" s="2">
        <f t="shared" si="303"/>
        <v>455</v>
      </c>
      <c r="B483" s="6">
        <f>A483</f>
        <v>455</v>
      </c>
      <c r="C483" s="19" t="s">
        <v>1724</v>
      </c>
      <c r="D483" s="4">
        <f t="shared" ref="D483:D514" si="325">E483+M483+O483+Q483+S483+T483+U483+V483+W483+X483+Z483+AA483+AB483+AC483+AD483</f>
        <v>7200000</v>
      </c>
      <c r="E483" s="1">
        <f>SUM(F483:K483)</f>
        <v>0</v>
      </c>
      <c r="F483" s="1">
        <v>0</v>
      </c>
      <c r="G483" s="1">
        <v>0</v>
      </c>
      <c r="H483" s="1">
        <v>0</v>
      </c>
      <c r="I483" s="1">
        <v>0</v>
      </c>
      <c r="J483" s="1">
        <v>0</v>
      </c>
      <c r="K483" s="1">
        <v>0</v>
      </c>
      <c r="L483" s="2">
        <v>2</v>
      </c>
      <c r="M483" s="1">
        <f t="shared" si="255"/>
        <v>7000000</v>
      </c>
      <c r="N483" s="1">
        <v>0</v>
      </c>
      <c r="O483" s="1">
        <v>0</v>
      </c>
      <c r="P483" s="1">
        <v>0</v>
      </c>
      <c r="Q483" s="1">
        <f>P483*1400</f>
        <v>0</v>
      </c>
      <c r="R483" s="1">
        <v>0</v>
      </c>
      <c r="S483" s="1">
        <f>R483*3751</f>
        <v>0</v>
      </c>
      <c r="T483" s="1">
        <v>0</v>
      </c>
      <c r="U483" s="1">
        <v>200000</v>
      </c>
      <c r="V483" s="1">
        <v>0</v>
      </c>
      <c r="W483" s="1">
        <v>0</v>
      </c>
      <c r="X483" s="1">
        <v>0</v>
      </c>
      <c r="Y483" s="1">
        <v>0</v>
      </c>
      <c r="Z483" s="1">
        <v>0</v>
      </c>
      <c r="AA483" s="1">
        <v>0</v>
      </c>
      <c r="AB483" s="1">
        <v>0</v>
      </c>
      <c r="AC483" s="1">
        <v>0</v>
      </c>
      <c r="AD483" s="1">
        <v>0</v>
      </c>
    </row>
    <row r="484" spans="1:30" s="20" customFormat="1" ht="36" customHeight="1" x14ac:dyDescent="0.25">
      <c r="A484" s="2">
        <f t="shared" si="303"/>
        <v>456</v>
      </c>
      <c r="B484" s="6">
        <f t="shared" si="284"/>
        <v>456</v>
      </c>
      <c r="C484" s="19" t="s">
        <v>293</v>
      </c>
      <c r="D484" s="4">
        <f t="shared" si="325"/>
        <v>8080355.2500000009</v>
      </c>
      <c r="E484" s="1">
        <f t="shared" si="258"/>
        <v>5279635.2500000009</v>
      </c>
      <c r="F484" s="1">
        <f>804*1345.13</f>
        <v>1081484.52</v>
      </c>
      <c r="G484" s="1">
        <f>1693*1345.13</f>
        <v>2277305.0900000003</v>
      </c>
      <c r="H484" s="1">
        <f>390*1345.13</f>
        <v>524600.70000000007</v>
      </c>
      <c r="I484" s="1">
        <f>571*1345.13</f>
        <v>768069.2300000001</v>
      </c>
      <c r="J484" s="1">
        <f>467*1345.13</f>
        <v>628175.71000000008</v>
      </c>
      <c r="K484" s="1">
        <v>0</v>
      </c>
      <c r="L484" s="2">
        <v>0</v>
      </c>
      <c r="M484" s="1">
        <f t="shared" si="255"/>
        <v>0</v>
      </c>
      <c r="N484" s="1">
        <v>0</v>
      </c>
      <c r="O484" s="1">
        <v>0</v>
      </c>
      <c r="P484" s="1">
        <v>0</v>
      </c>
      <c r="Q484" s="1">
        <f t="shared" si="256"/>
        <v>0</v>
      </c>
      <c r="R484" s="1">
        <v>720</v>
      </c>
      <c r="S484" s="1">
        <f t="shared" si="257"/>
        <v>2700720</v>
      </c>
      <c r="T484" s="1">
        <v>0</v>
      </c>
      <c r="U484" s="1">
        <v>50000</v>
      </c>
      <c r="V484" s="1">
        <v>0</v>
      </c>
      <c r="W484" s="1">
        <v>50000</v>
      </c>
      <c r="X484" s="1">
        <v>0</v>
      </c>
      <c r="Y484" s="1">
        <v>0</v>
      </c>
      <c r="Z484" s="1">
        <v>0</v>
      </c>
      <c r="AA484" s="1">
        <v>0</v>
      </c>
      <c r="AB484" s="1">
        <v>0</v>
      </c>
      <c r="AC484" s="1">
        <v>0</v>
      </c>
      <c r="AD484" s="1">
        <v>0</v>
      </c>
    </row>
    <row r="485" spans="1:30" s="20" customFormat="1" ht="36" customHeight="1" x14ac:dyDescent="0.25">
      <c r="A485" s="2">
        <f t="shared" si="303"/>
        <v>457</v>
      </c>
      <c r="B485" s="6">
        <f t="shared" ref="B485:B494" si="326">A485</f>
        <v>457</v>
      </c>
      <c r="C485" s="19" t="s">
        <v>297</v>
      </c>
      <c r="D485" s="4">
        <f t="shared" si="325"/>
        <v>3364438.5</v>
      </c>
      <c r="E485" s="1">
        <f t="shared" ref="E485:E494" si="327">SUM(F485:K485)</f>
        <v>1951588.5000000002</v>
      </c>
      <c r="F485" s="1">
        <f>804*497.22</f>
        <v>399764.88</v>
      </c>
      <c r="G485" s="1">
        <f>1693*497.22</f>
        <v>841793.46000000008</v>
      </c>
      <c r="H485" s="1">
        <f>390*497.22</f>
        <v>193915.80000000002</v>
      </c>
      <c r="I485" s="1">
        <f>571*497.22</f>
        <v>283912.62</v>
      </c>
      <c r="J485" s="1">
        <f>467*497.22</f>
        <v>232201.74000000002</v>
      </c>
      <c r="K485" s="1">
        <v>0</v>
      </c>
      <c r="L485" s="2">
        <v>0</v>
      </c>
      <c r="M485" s="1">
        <f t="shared" ref="M485:M494" si="328">L485*3500000</f>
        <v>0</v>
      </c>
      <c r="N485" s="1">
        <v>0</v>
      </c>
      <c r="O485" s="1">
        <v>0</v>
      </c>
      <c r="P485" s="1">
        <v>0</v>
      </c>
      <c r="Q485" s="1">
        <f t="shared" ref="Q485:Q494" si="329">P485*1400</f>
        <v>0</v>
      </c>
      <c r="R485" s="1">
        <v>350</v>
      </c>
      <c r="S485" s="1">
        <f t="shared" ref="S485:S494" si="330">R485*3751</f>
        <v>1312850</v>
      </c>
      <c r="T485" s="1">
        <v>0</v>
      </c>
      <c r="U485" s="1">
        <v>50000</v>
      </c>
      <c r="V485" s="1">
        <v>0</v>
      </c>
      <c r="W485" s="1">
        <v>50000</v>
      </c>
      <c r="X485" s="1">
        <v>0</v>
      </c>
      <c r="Y485" s="1">
        <v>0</v>
      </c>
      <c r="Z485" s="1">
        <v>0</v>
      </c>
      <c r="AA485" s="1">
        <v>0</v>
      </c>
      <c r="AB485" s="1">
        <v>0</v>
      </c>
      <c r="AC485" s="1">
        <v>0</v>
      </c>
      <c r="AD485" s="1">
        <v>0</v>
      </c>
    </row>
    <row r="486" spans="1:30" s="20" customFormat="1" ht="36" customHeight="1" x14ac:dyDescent="0.25">
      <c r="A486" s="2">
        <f t="shared" si="303"/>
        <v>458</v>
      </c>
      <c r="B486" s="6">
        <f t="shared" si="326"/>
        <v>458</v>
      </c>
      <c r="C486" s="19" t="s">
        <v>298</v>
      </c>
      <c r="D486" s="4">
        <f t="shared" si="325"/>
        <v>3380491.75</v>
      </c>
      <c r="E486" s="1">
        <f t="shared" si="327"/>
        <v>1967641.7499999998</v>
      </c>
      <c r="F486" s="1">
        <f>804*501.31</f>
        <v>403053.24</v>
      </c>
      <c r="G486" s="1">
        <f>1693*501.31</f>
        <v>848717.83</v>
      </c>
      <c r="H486" s="1">
        <f>390*501.31</f>
        <v>195510.9</v>
      </c>
      <c r="I486" s="1">
        <f>571*501.31</f>
        <v>286248.01</v>
      </c>
      <c r="J486" s="1">
        <f>467*501.31</f>
        <v>234111.77</v>
      </c>
      <c r="K486" s="1">
        <v>0</v>
      </c>
      <c r="L486" s="2">
        <v>0</v>
      </c>
      <c r="M486" s="1">
        <f t="shared" si="328"/>
        <v>0</v>
      </c>
      <c r="N486" s="1">
        <v>0</v>
      </c>
      <c r="O486" s="1">
        <v>0</v>
      </c>
      <c r="P486" s="1">
        <v>0</v>
      </c>
      <c r="Q486" s="1">
        <f t="shared" si="329"/>
        <v>0</v>
      </c>
      <c r="R486" s="1">
        <v>350</v>
      </c>
      <c r="S486" s="1">
        <f t="shared" si="330"/>
        <v>1312850</v>
      </c>
      <c r="T486" s="1">
        <v>0</v>
      </c>
      <c r="U486" s="1">
        <v>50000</v>
      </c>
      <c r="V486" s="1">
        <v>0</v>
      </c>
      <c r="W486" s="1">
        <v>50000</v>
      </c>
      <c r="X486" s="1">
        <v>0</v>
      </c>
      <c r="Y486" s="1">
        <v>0</v>
      </c>
      <c r="Z486" s="1">
        <v>0</v>
      </c>
      <c r="AA486" s="1">
        <v>0</v>
      </c>
      <c r="AB486" s="1">
        <v>0</v>
      </c>
      <c r="AC486" s="1">
        <v>0</v>
      </c>
      <c r="AD486" s="1">
        <v>0</v>
      </c>
    </row>
    <row r="487" spans="1:30" s="20" customFormat="1" ht="36" customHeight="1" x14ac:dyDescent="0.25">
      <c r="A487" s="2">
        <f t="shared" si="303"/>
        <v>459</v>
      </c>
      <c r="B487" s="6">
        <f t="shared" si="326"/>
        <v>459</v>
      </c>
      <c r="C487" s="19" t="s">
        <v>299</v>
      </c>
      <c r="D487" s="4">
        <f t="shared" si="325"/>
        <v>3338182.75</v>
      </c>
      <c r="E487" s="1">
        <f t="shared" si="327"/>
        <v>1977846.7499999998</v>
      </c>
      <c r="F487" s="1">
        <f>804*503.91</f>
        <v>405143.64</v>
      </c>
      <c r="G487" s="1">
        <f>1693*503.91</f>
        <v>853119.63</v>
      </c>
      <c r="H487" s="1">
        <f>390*503.91</f>
        <v>196524.90000000002</v>
      </c>
      <c r="I487" s="1">
        <f>571*503.91</f>
        <v>287732.61</v>
      </c>
      <c r="J487" s="1">
        <f>467*503.91</f>
        <v>235325.97</v>
      </c>
      <c r="K487" s="1">
        <v>0</v>
      </c>
      <c r="L487" s="2">
        <v>0</v>
      </c>
      <c r="M487" s="1">
        <f t="shared" si="328"/>
        <v>0</v>
      </c>
      <c r="N487" s="1">
        <v>0</v>
      </c>
      <c r="O487" s="1">
        <v>0</v>
      </c>
      <c r="P487" s="1">
        <v>0</v>
      </c>
      <c r="Q487" s="1">
        <f t="shared" si="329"/>
        <v>0</v>
      </c>
      <c r="R487" s="1">
        <v>336</v>
      </c>
      <c r="S487" s="1">
        <f t="shared" si="330"/>
        <v>1260336</v>
      </c>
      <c r="T487" s="1">
        <v>0</v>
      </c>
      <c r="U487" s="1">
        <v>50000</v>
      </c>
      <c r="V487" s="1">
        <v>0</v>
      </c>
      <c r="W487" s="1">
        <v>50000</v>
      </c>
      <c r="X487" s="1">
        <v>0</v>
      </c>
      <c r="Y487" s="1">
        <v>0</v>
      </c>
      <c r="Z487" s="1">
        <v>0</v>
      </c>
      <c r="AA487" s="1">
        <v>0</v>
      </c>
      <c r="AB487" s="1">
        <v>0</v>
      </c>
      <c r="AC487" s="1">
        <v>0</v>
      </c>
      <c r="AD487" s="1">
        <v>0</v>
      </c>
    </row>
    <row r="488" spans="1:30" s="20" customFormat="1" ht="36" customHeight="1" x14ac:dyDescent="0.25">
      <c r="A488" s="2">
        <f t="shared" si="303"/>
        <v>460</v>
      </c>
      <c r="B488" s="6">
        <f t="shared" si="326"/>
        <v>460</v>
      </c>
      <c r="C488" s="19" t="s">
        <v>300</v>
      </c>
      <c r="D488" s="4">
        <f t="shared" si="325"/>
        <v>3372805.25</v>
      </c>
      <c r="E488" s="1">
        <f t="shared" si="327"/>
        <v>1978710.2499999998</v>
      </c>
      <c r="F488" s="1">
        <f>804*504.13</f>
        <v>405320.52</v>
      </c>
      <c r="G488" s="1">
        <f>1693*504.13</f>
        <v>853492.09</v>
      </c>
      <c r="H488" s="1">
        <f>390*504.13</f>
        <v>196610.7</v>
      </c>
      <c r="I488" s="1">
        <f>571*504.13</f>
        <v>287858.23</v>
      </c>
      <c r="J488" s="1">
        <f>467*504.13</f>
        <v>235428.71</v>
      </c>
      <c r="K488" s="1">
        <v>0</v>
      </c>
      <c r="L488" s="2">
        <v>0</v>
      </c>
      <c r="M488" s="1">
        <f t="shared" si="328"/>
        <v>0</v>
      </c>
      <c r="N488" s="1">
        <v>0</v>
      </c>
      <c r="O488" s="1">
        <v>0</v>
      </c>
      <c r="P488" s="1">
        <v>0</v>
      </c>
      <c r="Q488" s="1">
        <f t="shared" si="329"/>
        <v>0</v>
      </c>
      <c r="R488" s="1">
        <v>345</v>
      </c>
      <c r="S488" s="1">
        <f t="shared" si="330"/>
        <v>1294095</v>
      </c>
      <c r="T488" s="1">
        <v>0</v>
      </c>
      <c r="U488" s="1">
        <v>50000</v>
      </c>
      <c r="V488" s="1">
        <v>0</v>
      </c>
      <c r="W488" s="1">
        <v>50000</v>
      </c>
      <c r="X488" s="1">
        <v>0</v>
      </c>
      <c r="Y488" s="1">
        <v>0</v>
      </c>
      <c r="Z488" s="1">
        <v>0</v>
      </c>
      <c r="AA488" s="1">
        <v>0</v>
      </c>
      <c r="AB488" s="1">
        <v>0</v>
      </c>
      <c r="AC488" s="1">
        <v>0</v>
      </c>
      <c r="AD488" s="1">
        <v>0</v>
      </c>
    </row>
    <row r="489" spans="1:30" s="20" customFormat="1" ht="36" customHeight="1" x14ac:dyDescent="0.25">
      <c r="A489" s="2">
        <f t="shared" si="303"/>
        <v>461</v>
      </c>
      <c r="B489" s="6">
        <f t="shared" si="326"/>
        <v>461</v>
      </c>
      <c r="C489" s="19" t="s">
        <v>301</v>
      </c>
      <c r="D489" s="4">
        <f t="shared" si="325"/>
        <v>3196709.75</v>
      </c>
      <c r="E489" s="1">
        <f t="shared" si="327"/>
        <v>1971409.75</v>
      </c>
      <c r="F489" s="1">
        <f>804*502.27</f>
        <v>403825.07999999996</v>
      </c>
      <c r="G489" s="1">
        <f>1693*502.27</f>
        <v>850343.11</v>
      </c>
      <c r="H489" s="1">
        <f>390*502.27</f>
        <v>195885.3</v>
      </c>
      <c r="I489" s="1">
        <f>571*502.27</f>
        <v>286796.17</v>
      </c>
      <c r="J489" s="1">
        <f>467*502.27</f>
        <v>234560.09</v>
      </c>
      <c r="K489" s="1">
        <v>0</v>
      </c>
      <c r="L489" s="2">
        <v>0</v>
      </c>
      <c r="M489" s="1">
        <f t="shared" si="328"/>
        <v>0</v>
      </c>
      <c r="N489" s="1">
        <v>0</v>
      </c>
      <c r="O489" s="1">
        <v>0</v>
      </c>
      <c r="P489" s="1">
        <v>0</v>
      </c>
      <c r="Q489" s="1">
        <f t="shared" si="329"/>
        <v>0</v>
      </c>
      <c r="R489" s="1">
        <v>300</v>
      </c>
      <c r="S489" s="1">
        <f t="shared" si="330"/>
        <v>1125300</v>
      </c>
      <c r="T489" s="1">
        <v>0</v>
      </c>
      <c r="U489" s="1">
        <v>50000</v>
      </c>
      <c r="V489" s="1">
        <v>0</v>
      </c>
      <c r="W489" s="1">
        <v>50000</v>
      </c>
      <c r="X489" s="1">
        <v>0</v>
      </c>
      <c r="Y489" s="1">
        <v>0</v>
      </c>
      <c r="Z489" s="1">
        <v>0</v>
      </c>
      <c r="AA489" s="1">
        <v>0</v>
      </c>
      <c r="AB489" s="1">
        <v>0</v>
      </c>
      <c r="AC489" s="1">
        <v>0</v>
      </c>
      <c r="AD489" s="1">
        <v>0</v>
      </c>
    </row>
    <row r="490" spans="1:30" s="20" customFormat="1" ht="36" customHeight="1" x14ac:dyDescent="0.25">
      <c r="A490" s="2">
        <f t="shared" si="303"/>
        <v>462</v>
      </c>
      <c r="B490" s="6">
        <f t="shared" si="326"/>
        <v>462</v>
      </c>
      <c r="C490" s="19" t="s">
        <v>302</v>
      </c>
      <c r="D490" s="4">
        <f t="shared" si="325"/>
        <v>3133399.5</v>
      </c>
      <c r="E490" s="1">
        <f t="shared" si="327"/>
        <v>1908099.5</v>
      </c>
      <c r="F490" s="1">
        <f>804*486.14</f>
        <v>390856.56</v>
      </c>
      <c r="G490" s="1">
        <f>1693*486.14</f>
        <v>823035.02</v>
      </c>
      <c r="H490" s="1">
        <f>390*486.14</f>
        <v>189594.6</v>
      </c>
      <c r="I490" s="1">
        <f>571*486.14</f>
        <v>277585.94</v>
      </c>
      <c r="J490" s="1">
        <f>467*486.14</f>
        <v>227027.38</v>
      </c>
      <c r="K490" s="1">
        <v>0</v>
      </c>
      <c r="L490" s="2">
        <v>0</v>
      </c>
      <c r="M490" s="1">
        <f t="shared" si="328"/>
        <v>0</v>
      </c>
      <c r="N490" s="1">
        <v>0</v>
      </c>
      <c r="O490" s="1">
        <v>0</v>
      </c>
      <c r="P490" s="1">
        <v>0</v>
      </c>
      <c r="Q490" s="1">
        <f t="shared" si="329"/>
        <v>0</v>
      </c>
      <c r="R490" s="1">
        <v>300</v>
      </c>
      <c r="S490" s="1">
        <f t="shared" si="330"/>
        <v>1125300</v>
      </c>
      <c r="T490" s="1">
        <v>0</v>
      </c>
      <c r="U490" s="1">
        <v>50000</v>
      </c>
      <c r="V490" s="1">
        <v>0</v>
      </c>
      <c r="W490" s="1">
        <v>50000</v>
      </c>
      <c r="X490" s="1">
        <v>0</v>
      </c>
      <c r="Y490" s="1">
        <v>0</v>
      </c>
      <c r="Z490" s="1">
        <v>0</v>
      </c>
      <c r="AA490" s="1">
        <v>0</v>
      </c>
      <c r="AB490" s="1">
        <v>0</v>
      </c>
      <c r="AC490" s="1">
        <v>0</v>
      </c>
      <c r="AD490" s="1">
        <v>0</v>
      </c>
    </row>
    <row r="491" spans="1:30" s="20" customFormat="1" ht="36" customHeight="1" x14ac:dyDescent="0.25">
      <c r="A491" s="2">
        <f t="shared" si="303"/>
        <v>463</v>
      </c>
      <c r="B491" s="6">
        <f t="shared" si="326"/>
        <v>463</v>
      </c>
      <c r="C491" s="19" t="s">
        <v>303</v>
      </c>
      <c r="D491" s="4">
        <f t="shared" si="325"/>
        <v>3345775</v>
      </c>
      <c r="E491" s="1">
        <f t="shared" si="327"/>
        <v>1989190.0000000002</v>
      </c>
      <c r="F491" s="1">
        <f>804*506.8</f>
        <v>407467.2</v>
      </c>
      <c r="G491" s="1">
        <f>1693*506.8</f>
        <v>858012.4</v>
      </c>
      <c r="H491" s="1">
        <f>390*506.8</f>
        <v>197652</v>
      </c>
      <c r="I491" s="1">
        <f>571*506.8</f>
        <v>289382.8</v>
      </c>
      <c r="J491" s="1">
        <f>467*506.8</f>
        <v>236675.6</v>
      </c>
      <c r="K491" s="1">
        <v>0</v>
      </c>
      <c r="L491" s="2">
        <v>0</v>
      </c>
      <c r="M491" s="1">
        <f t="shared" si="328"/>
        <v>0</v>
      </c>
      <c r="N491" s="1">
        <v>0</v>
      </c>
      <c r="O491" s="1">
        <v>0</v>
      </c>
      <c r="P491" s="1">
        <v>0</v>
      </c>
      <c r="Q491" s="1">
        <f t="shared" si="329"/>
        <v>0</v>
      </c>
      <c r="R491" s="1">
        <v>335</v>
      </c>
      <c r="S491" s="1">
        <f t="shared" si="330"/>
        <v>1256585</v>
      </c>
      <c r="T491" s="1">
        <v>0</v>
      </c>
      <c r="U491" s="1">
        <v>50000</v>
      </c>
      <c r="V491" s="1">
        <v>0</v>
      </c>
      <c r="W491" s="1">
        <v>50000</v>
      </c>
      <c r="X491" s="1">
        <v>0</v>
      </c>
      <c r="Y491" s="1">
        <v>0</v>
      </c>
      <c r="Z491" s="1">
        <v>0</v>
      </c>
      <c r="AA491" s="1">
        <v>0</v>
      </c>
      <c r="AB491" s="1">
        <v>0</v>
      </c>
      <c r="AC491" s="1">
        <v>0</v>
      </c>
      <c r="AD491" s="1">
        <v>0</v>
      </c>
    </row>
    <row r="492" spans="1:30" s="20" customFormat="1" ht="36" customHeight="1" x14ac:dyDescent="0.25">
      <c r="A492" s="2">
        <f t="shared" si="303"/>
        <v>464</v>
      </c>
      <c r="B492" s="6">
        <f t="shared" si="326"/>
        <v>464</v>
      </c>
      <c r="C492" s="19" t="s">
        <v>304</v>
      </c>
      <c r="D492" s="4">
        <f t="shared" si="325"/>
        <v>3410897.5</v>
      </c>
      <c r="E492" s="1">
        <f t="shared" si="327"/>
        <v>1960537.5</v>
      </c>
      <c r="F492" s="1">
        <f>804*499.5</f>
        <v>401598</v>
      </c>
      <c r="G492" s="1">
        <f>1693*499.5</f>
        <v>845653.5</v>
      </c>
      <c r="H492" s="1">
        <f>390*499.5</f>
        <v>194805</v>
      </c>
      <c r="I492" s="1">
        <f>571*499.5</f>
        <v>285214.5</v>
      </c>
      <c r="J492" s="1">
        <f>467*499.5</f>
        <v>233266.5</v>
      </c>
      <c r="K492" s="1">
        <v>0</v>
      </c>
      <c r="L492" s="2">
        <v>0</v>
      </c>
      <c r="M492" s="1">
        <f t="shared" si="328"/>
        <v>0</v>
      </c>
      <c r="N492" s="1">
        <v>0</v>
      </c>
      <c r="O492" s="1">
        <v>0</v>
      </c>
      <c r="P492" s="1">
        <v>0</v>
      </c>
      <c r="Q492" s="1">
        <f t="shared" si="329"/>
        <v>0</v>
      </c>
      <c r="R492" s="1">
        <v>360</v>
      </c>
      <c r="S492" s="1">
        <f t="shared" si="330"/>
        <v>1350360</v>
      </c>
      <c r="T492" s="1">
        <v>0</v>
      </c>
      <c r="U492" s="1">
        <v>50000</v>
      </c>
      <c r="V492" s="1">
        <v>0</v>
      </c>
      <c r="W492" s="1">
        <v>50000</v>
      </c>
      <c r="X492" s="1">
        <v>0</v>
      </c>
      <c r="Y492" s="1">
        <v>0</v>
      </c>
      <c r="Z492" s="1">
        <v>0</v>
      </c>
      <c r="AA492" s="1">
        <v>0</v>
      </c>
      <c r="AB492" s="1">
        <v>0</v>
      </c>
      <c r="AC492" s="1">
        <v>0</v>
      </c>
      <c r="AD492" s="1">
        <v>0</v>
      </c>
    </row>
    <row r="493" spans="1:30" s="20" customFormat="1" ht="36" customHeight="1" x14ac:dyDescent="0.25">
      <c r="A493" s="2">
        <f t="shared" si="303"/>
        <v>465</v>
      </c>
      <c r="B493" s="6">
        <f t="shared" si="326"/>
        <v>465</v>
      </c>
      <c r="C493" s="19" t="s">
        <v>305</v>
      </c>
      <c r="D493" s="4">
        <f t="shared" si="325"/>
        <v>7614155.25</v>
      </c>
      <c r="E493" s="1">
        <f t="shared" si="327"/>
        <v>5526125.25</v>
      </c>
      <c r="F493" s="1">
        <f>804*1407.93</f>
        <v>1131975.72</v>
      </c>
      <c r="G493" s="1">
        <f>1693*1407.93</f>
        <v>2383625.4900000002</v>
      </c>
      <c r="H493" s="1">
        <f>390*1407.93</f>
        <v>549092.70000000007</v>
      </c>
      <c r="I493" s="1">
        <f>571*1407.93</f>
        <v>803928.03</v>
      </c>
      <c r="J493" s="1">
        <f>467*1407.93</f>
        <v>657503.31000000006</v>
      </c>
      <c r="K493" s="1">
        <v>0</v>
      </c>
      <c r="L493" s="2">
        <v>0</v>
      </c>
      <c r="M493" s="1">
        <f t="shared" si="328"/>
        <v>0</v>
      </c>
      <c r="N493" s="1">
        <v>0</v>
      </c>
      <c r="O493" s="1">
        <v>0</v>
      </c>
      <c r="P493" s="1">
        <v>0</v>
      </c>
      <c r="Q493" s="1">
        <f t="shared" si="329"/>
        <v>0</v>
      </c>
      <c r="R493" s="1">
        <v>530</v>
      </c>
      <c r="S493" s="1">
        <f t="shared" si="330"/>
        <v>1988030</v>
      </c>
      <c r="T493" s="1">
        <v>0</v>
      </c>
      <c r="U493" s="1">
        <v>50000</v>
      </c>
      <c r="V493" s="1">
        <v>0</v>
      </c>
      <c r="W493" s="1">
        <v>50000</v>
      </c>
      <c r="X493" s="1">
        <v>0</v>
      </c>
      <c r="Y493" s="1">
        <v>0</v>
      </c>
      <c r="Z493" s="1">
        <v>0</v>
      </c>
      <c r="AA493" s="1">
        <v>0</v>
      </c>
      <c r="AB493" s="1">
        <v>0</v>
      </c>
      <c r="AC493" s="1">
        <v>0</v>
      </c>
      <c r="AD493" s="1">
        <v>0</v>
      </c>
    </row>
    <row r="494" spans="1:30" s="20" customFormat="1" ht="36" customHeight="1" x14ac:dyDescent="0.25">
      <c r="A494" s="2">
        <f t="shared" si="303"/>
        <v>466</v>
      </c>
      <c r="B494" s="6">
        <f t="shared" si="326"/>
        <v>466</v>
      </c>
      <c r="C494" s="19" t="s">
        <v>306</v>
      </c>
      <c r="D494" s="4">
        <f t="shared" si="325"/>
        <v>3203801</v>
      </c>
      <c r="E494" s="1">
        <f t="shared" si="327"/>
        <v>1940991</v>
      </c>
      <c r="F494" s="1">
        <f>804*494.52</f>
        <v>397594.07999999996</v>
      </c>
      <c r="G494" s="1">
        <f>1693*494.52</f>
        <v>837222.36</v>
      </c>
      <c r="H494" s="1">
        <f>390*494.52</f>
        <v>192862.8</v>
      </c>
      <c r="I494" s="1">
        <f>571*494.52</f>
        <v>282370.92</v>
      </c>
      <c r="J494" s="1">
        <f>467*494.52</f>
        <v>230940.84</v>
      </c>
      <c r="K494" s="1">
        <v>0</v>
      </c>
      <c r="L494" s="2">
        <v>0</v>
      </c>
      <c r="M494" s="1">
        <f t="shared" si="328"/>
        <v>0</v>
      </c>
      <c r="N494" s="1">
        <v>0</v>
      </c>
      <c r="O494" s="1">
        <v>0</v>
      </c>
      <c r="P494" s="1">
        <v>0</v>
      </c>
      <c r="Q494" s="1">
        <f t="shared" si="329"/>
        <v>0</v>
      </c>
      <c r="R494" s="1">
        <v>310</v>
      </c>
      <c r="S494" s="1">
        <f t="shared" si="330"/>
        <v>1162810</v>
      </c>
      <c r="T494" s="1">
        <v>0</v>
      </c>
      <c r="U494" s="1">
        <v>50000</v>
      </c>
      <c r="V494" s="1">
        <v>0</v>
      </c>
      <c r="W494" s="1">
        <v>50000</v>
      </c>
      <c r="X494" s="1">
        <v>0</v>
      </c>
      <c r="Y494" s="1">
        <v>0</v>
      </c>
      <c r="Z494" s="1">
        <v>0</v>
      </c>
      <c r="AA494" s="1">
        <v>0</v>
      </c>
      <c r="AB494" s="1">
        <v>0</v>
      </c>
      <c r="AC494" s="1">
        <v>0</v>
      </c>
      <c r="AD494" s="1">
        <v>0</v>
      </c>
    </row>
    <row r="495" spans="1:30" s="20" customFormat="1" ht="36" customHeight="1" x14ac:dyDescent="0.25">
      <c r="A495" s="2">
        <f t="shared" si="303"/>
        <v>467</v>
      </c>
      <c r="B495" s="6">
        <f t="shared" si="284"/>
        <v>467</v>
      </c>
      <c r="C495" s="19" t="s">
        <v>294</v>
      </c>
      <c r="D495" s="4">
        <f t="shared" si="325"/>
        <v>3219082.25</v>
      </c>
      <c r="E495" s="1">
        <f t="shared" ref="E495:E554" si="331">SUM(F495:K495)</f>
        <v>1993782.2500000002</v>
      </c>
      <c r="F495" s="1">
        <f>804*507.97</f>
        <v>408407.88</v>
      </c>
      <c r="G495" s="1">
        <f>1693*507.97</f>
        <v>859993.21000000008</v>
      </c>
      <c r="H495" s="1">
        <f>390*507.97</f>
        <v>198108.30000000002</v>
      </c>
      <c r="I495" s="1">
        <f>571*507.97</f>
        <v>290050.87</v>
      </c>
      <c r="J495" s="1">
        <f>467*507.97</f>
        <v>237221.99000000002</v>
      </c>
      <c r="K495" s="1">
        <v>0</v>
      </c>
      <c r="L495" s="2">
        <v>0</v>
      </c>
      <c r="M495" s="1">
        <f t="shared" si="255"/>
        <v>0</v>
      </c>
      <c r="N495" s="1">
        <v>0</v>
      </c>
      <c r="O495" s="1">
        <v>0</v>
      </c>
      <c r="P495" s="1">
        <v>0</v>
      </c>
      <c r="Q495" s="1">
        <f t="shared" ref="Q495:Q553" si="332">P495*1400</f>
        <v>0</v>
      </c>
      <c r="R495" s="1">
        <v>300</v>
      </c>
      <c r="S495" s="1">
        <f t="shared" ref="S495:S553" si="333">R495*3751</f>
        <v>1125300</v>
      </c>
      <c r="T495" s="1">
        <v>0</v>
      </c>
      <c r="U495" s="1">
        <v>50000</v>
      </c>
      <c r="V495" s="1">
        <v>0</v>
      </c>
      <c r="W495" s="1">
        <v>50000</v>
      </c>
      <c r="X495" s="1">
        <v>0</v>
      </c>
      <c r="Y495" s="1">
        <v>0</v>
      </c>
      <c r="Z495" s="1">
        <v>0</v>
      </c>
      <c r="AA495" s="1">
        <v>0</v>
      </c>
      <c r="AB495" s="1">
        <v>0</v>
      </c>
      <c r="AC495" s="1">
        <v>0</v>
      </c>
      <c r="AD495" s="1">
        <v>0</v>
      </c>
    </row>
    <row r="496" spans="1:30" s="20" customFormat="1" ht="36" customHeight="1" x14ac:dyDescent="0.25">
      <c r="A496" s="2">
        <f t="shared" si="303"/>
        <v>468</v>
      </c>
      <c r="B496" s="6">
        <f t="shared" si="284"/>
        <v>468</v>
      </c>
      <c r="C496" s="19" t="s">
        <v>295</v>
      </c>
      <c r="D496" s="4">
        <f t="shared" si="325"/>
        <v>3125307.5</v>
      </c>
      <c r="E496" s="1">
        <f t="shared" si="331"/>
        <v>1881252.5000000002</v>
      </c>
      <c r="F496" s="1">
        <f>804*479.3</f>
        <v>385357.2</v>
      </c>
      <c r="G496" s="1">
        <f>1693*479.3</f>
        <v>811454.9</v>
      </c>
      <c r="H496" s="1">
        <f>390*479.3</f>
        <v>186927</v>
      </c>
      <c r="I496" s="1">
        <f>571*479.3</f>
        <v>273680.3</v>
      </c>
      <c r="J496" s="1">
        <f>467*479.3</f>
        <v>223833.1</v>
      </c>
      <c r="K496" s="1">
        <v>0</v>
      </c>
      <c r="L496" s="2">
        <v>0</v>
      </c>
      <c r="M496" s="1">
        <f t="shared" ref="M496:M555" si="334">L496*3500000</f>
        <v>0</v>
      </c>
      <c r="N496" s="1">
        <v>0</v>
      </c>
      <c r="O496" s="1">
        <v>0</v>
      </c>
      <c r="P496" s="1">
        <v>0</v>
      </c>
      <c r="Q496" s="1">
        <f t="shared" si="332"/>
        <v>0</v>
      </c>
      <c r="R496" s="1">
        <v>305</v>
      </c>
      <c r="S496" s="1">
        <f t="shared" si="333"/>
        <v>1144055</v>
      </c>
      <c r="T496" s="1">
        <v>0</v>
      </c>
      <c r="U496" s="1">
        <v>50000</v>
      </c>
      <c r="V496" s="1">
        <v>0</v>
      </c>
      <c r="W496" s="1">
        <v>50000</v>
      </c>
      <c r="X496" s="1">
        <v>0</v>
      </c>
      <c r="Y496" s="1">
        <v>0</v>
      </c>
      <c r="Z496" s="1">
        <v>0</v>
      </c>
      <c r="AA496" s="1">
        <v>0</v>
      </c>
      <c r="AB496" s="1">
        <v>0</v>
      </c>
      <c r="AC496" s="1">
        <v>0</v>
      </c>
      <c r="AD496" s="1">
        <v>0</v>
      </c>
    </row>
    <row r="497" spans="1:30" s="20" customFormat="1" ht="36" customHeight="1" x14ac:dyDescent="0.25">
      <c r="A497" s="2">
        <f t="shared" si="303"/>
        <v>469</v>
      </c>
      <c r="B497" s="6">
        <f t="shared" si="284"/>
        <v>469</v>
      </c>
      <c r="C497" s="19" t="s">
        <v>296</v>
      </c>
      <c r="D497" s="4">
        <f t="shared" si="325"/>
        <v>3984058.25</v>
      </c>
      <c r="E497" s="1">
        <f t="shared" si="331"/>
        <v>2740003.25</v>
      </c>
      <c r="F497" s="1">
        <f>804*698.09</f>
        <v>561264.36</v>
      </c>
      <c r="G497" s="1">
        <f>1693*698.09</f>
        <v>1181866.3700000001</v>
      </c>
      <c r="H497" s="1">
        <f>390*698.09</f>
        <v>272255.10000000003</v>
      </c>
      <c r="I497" s="1">
        <f>571*698.09</f>
        <v>398609.39</v>
      </c>
      <c r="J497" s="1">
        <f>467*698.09</f>
        <v>326008.03000000003</v>
      </c>
      <c r="K497" s="1">
        <v>0</v>
      </c>
      <c r="L497" s="2">
        <v>0</v>
      </c>
      <c r="M497" s="1">
        <f t="shared" si="334"/>
        <v>0</v>
      </c>
      <c r="N497" s="1">
        <v>0</v>
      </c>
      <c r="O497" s="1">
        <v>0</v>
      </c>
      <c r="P497" s="1">
        <v>0</v>
      </c>
      <c r="Q497" s="1">
        <f t="shared" si="332"/>
        <v>0</v>
      </c>
      <c r="R497" s="1">
        <v>305</v>
      </c>
      <c r="S497" s="1">
        <f t="shared" si="333"/>
        <v>1144055</v>
      </c>
      <c r="T497" s="1">
        <v>0</v>
      </c>
      <c r="U497" s="1">
        <v>50000</v>
      </c>
      <c r="V497" s="1">
        <v>0</v>
      </c>
      <c r="W497" s="1">
        <v>50000</v>
      </c>
      <c r="X497" s="1">
        <v>0</v>
      </c>
      <c r="Y497" s="1">
        <v>0</v>
      </c>
      <c r="Z497" s="1">
        <v>0</v>
      </c>
      <c r="AA497" s="1">
        <v>0</v>
      </c>
      <c r="AB497" s="1">
        <v>0</v>
      </c>
      <c r="AC497" s="1">
        <v>0</v>
      </c>
      <c r="AD497" s="1">
        <v>0</v>
      </c>
    </row>
    <row r="498" spans="1:30" s="20" customFormat="1" ht="36" customHeight="1" x14ac:dyDescent="0.25">
      <c r="A498" s="2">
        <f t="shared" si="303"/>
        <v>470</v>
      </c>
      <c r="B498" s="6">
        <f t="shared" ref="B498:B514" si="335">A498</f>
        <v>470</v>
      </c>
      <c r="C498" s="19" t="s">
        <v>1813</v>
      </c>
      <c r="D498" s="4">
        <f t="shared" si="325"/>
        <v>11555504.999999998</v>
      </c>
      <c r="E498" s="1">
        <f t="shared" si="331"/>
        <v>11455504.999999998</v>
      </c>
      <c r="F498" s="1">
        <f>804*2918.6</f>
        <v>2346554.4</v>
      </c>
      <c r="G498" s="1">
        <f>1693*2918.6</f>
        <v>4941189.8</v>
      </c>
      <c r="H498" s="1">
        <f>390*2918.6</f>
        <v>1138254</v>
      </c>
      <c r="I498" s="1">
        <f>571*2918.6</f>
        <v>1666520.5999999999</v>
      </c>
      <c r="J498" s="1">
        <f>467*2918.6</f>
        <v>1362986.2</v>
      </c>
      <c r="K498" s="1">
        <v>0</v>
      </c>
      <c r="L498" s="2">
        <v>0</v>
      </c>
      <c r="M498" s="1">
        <f t="shared" si="334"/>
        <v>0</v>
      </c>
      <c r="N498" s="1">
        <v>0</v>
      </c>
      <c r="O498" s="1">
        <v>0</v>
      </c>
      <c r="P498" s="1">
        <v>0</v>
      </c>
      <c r="Q498" s="1">
        <f t="shared" si="332"/>
        <v>0</v>
      </c>
      <c r="R498" s="1">
        <v>0</v>
      </c>
      <c r="S498" s="1">
        <f t="shared" si="333"/>
        <v>0</v>
      </c>
      <c r="T498" s="1">
        <v>0</v>
      </c>
      <c r="U498" s="1">
        <v>50000</v>
      </c>
      <c r="V498" s="1">
        <v>0</v>
      </c>
      <c r="W498" s="1">
        <v>50000</v>
      </c>
      <c r="X498" s="1">
        <v>0</v>
      </c>
      <c r="Y498" s="1">
        <v>0</v>
      </c>
      <c r="Z498" s="1">
        <v>0</v>
      </c>
      <c r="AA498" s="1">
        <v>0</v>
      </c>
      <c r="AB498" s="1">
        <v>0</v>
      </c>
      <c r="AC498" s="1">
        <v>0</v>
      </c>
      <c r="AD498" s="1">
        <v>0</v>
      </c>
    </row>
    <row r="499" spans="1:30" s="20" customFormat="1" ht="36" customHeight="1" x14ac:dyDescent="0.25">
      <c r="A499" s="2">
        <f t="shared" si="303"/>
        <v>471</v>
      </c>
      <c r="B499" s="6">
        <f t="shared" si="335"/>
        <v>471</v>
      </c>
      <c r="C499" s="19" t="s">
        <v>307</v>
      </c>
      <c r="D499" s="4">
        <f t="shared" si="325"/>
        <v>4777030</v>
      </c>
      <c r="E499" s="1">
        <f t="shared" si="331"/>
        <v>4677030</v>
      </c>
      <c r="F499" s="1">
        <f>804*1191.6</f>
        <v>958046.39999999991</v>
      </c>
      <c r="G499" s="1">
        <f>1693*1191.6</f>
        <v>2017378.7999999998</v>
      </c>
      <c r="H499" s="1">
        <f>390*1191.6</f>
        <v>464723.99999999994</v>
      </c>
      <c r="I499" s="1">
        <f>571*1191.6</f>
        <v>680403.6</v>
      </c>
      <c r="J499" s="1">
        <f>467*1191.6</f>
        <v>556477.19999999995</v>
      </c>
      <c r="K499" s="1">
        <v>0</v>
      </c>
      <c r="L499" s="2">
        <v>0</v>
      </c>
      <c r="M499" s="1">
        <f t="shared" si="334"/>
        <v>0</v>
      </c>
      <c r="N499" s="1">
        <v>0</v>
      </c>
      <c r="O499" s="1">
        <v>0</v>
      </c>
      <c r="P499" s="1">
        <v>0</v>
      </c>
      <c r="Q499" s="1">
        <f t="shared" si="332"/>
        <v>0</v>
      </c>
      <c r="R499" s="1">
        <v>0</v>
      </c>
      <c r="S499" s="1">
        <f t="shared" si="333"/>
        <v>0</v>
      </c>
      <c r="T499" s="1">
        <v>0</v>
      </c>
      <c r="U499" s="1">
        <v>50000</v>
      </c>
      <c r="V499" s="1">
        <v>0</v>
      </c>
      <c r="W499" s="1">
        <v>50000</v>
      </c>
      <c r="X499" s="1">
        <v>0</v>
      </c>
      <c r="Y499" s="1">
        <v>0</v>
      </c>
      <c r="Z499" s="1">
        <v>0</v>
      </c>
      <c r="AA499" s="1">
        <v>0</v>
      </c>
      <c r="AB499" s="1">
        <v>0</v>
      </c>
      <c r="AC499" s="1">
        <v>0</v>
      </c>
      <c r="AD499" s="1">
        <v>0</v>
      </c>
    </row>
    <row r="500" spans="1:30" s="20" customFormat="1" ht="36" customHeight="1" x14ac:dyDescent="0.25">
      <c r="A500" s="2">
        <f t="shared" si="303"/>
        <v>472</v>
      </c>
      <c r="B500" s="6">
        <f>A500</f>
        <v>472</v>
      </c>
      <c r="C500" s="19" t="s">
        <v>2271</v>
      </c>
      <c r="D500" s="4">
        <f t="shared" si="325"/>
        <v>14200000</v>
      </c>
      <c r="E500" s="1">
        <f>SUM(F500:K500)</f>
        <v>0</v>
      </c>
      <c r="F500" s="1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2">
        <v>4</v>
      </c>
      <c r="M500" s="1">
        <f t="shared" si="334"/>
        <v>14000000</v>
      </c>
      <c r="N500" s="1">
        <v>0</v>
      </c>
      <c r="O500" s="1">
        <v>0</v>
      </c>
      <c r="P500" s="1">
        <v>0</v>
      </c>
      <c r="Q500" s="1">
        <f>P500*1400</f>
        <v>0</v>
      </c>
      <c r="R500" s="1">
        <v>0</v>
      </c>
      <c r="S500" s="1">
        <f>R500*3751</f>
        <v>0</v>
      </c>
      <c r="T500" s="1">
        <v>0</v>
      </c>
      <c r="U500" s="1">
        <v>200000</v>
      </c>
      <c r="V500" s="1">
        <v>0</v>
      </c>
      <c r="W500" s="1">
        <v>0</v>
      </c>
      <c r="X500" s="1">
        <v>0</v>
      </c>
      <c r="Y500" s="1">
        <v>0</v>
      </c>
      <c r="Z500" s="1">
        <v>0</v>
      </c>
      <c r="AA500" s="1">
        <v>0</v>
      </c>
      <c r="AB500" s="1">
        <v>0</v>
      </c>
      <c r="AC500" s="1">
        <v>0</v>
      </c>
      <c r="AD500" s="1">
        <v>0</v>
      </c>
    </row>
    <row r="501" spans="1:30" s="20" customFormat="1" ht="36" customHeight="1" x14ac:dyDescent="0.25">
      <c r="A501" s="2">
        <f t="shared" si="303"/>
        <v>473</v>
      </c>
      <c r="B501" s="6">
        <f t="shared" si="335"/>
        <v>473</v>
      </c>
      <c r="C501" s="19" t="s">
        <v>308</v>
      </c>
      <c r="D501" s="4">
        <f t="shared" si="325"/>
        <v>3128484</v>
      </c>
      <c r="E501" s="1">
        <f t="shared" si="331"/>
        <v>1944444.9999999998</v>
      </c>
      <c r="F501" s="1">
        <f>804*495.4</f>
        <v>398301.6</v>
      </c>
      <c r="G501" s="1">
        <f>1693*495.4</f>
        <v>838712.2</v>
      </c>
      <c r="H501" s="1">
        <f>390*495.4</f>
        <v>193206</v>
      </c>
      <c r="I501" s="1">
        <f>571*495.4</f>
        <v>282873.39999999997</v>
      </c>
      <c r="J501" s="1">
        <f>467*495.4</f>
        <v>231351.8</v>
      </c>
      <c r="K501" s="1">
        <v>0</v>
      </c>
      <c r="L501" s="2">
        <v>0</v>
      </c>
      <c r="M501" s="1">
        <f t="shared" si="334"/>
        <v>0</v>
      </c>
      <c r="N501" s="1">
        <v>0</v>
      </c>
      <c r="O501" s="1">
        <v>0</v>
      </c>
      <c r="P501" s="1">
        <v>0</v>
      </c>
      <c r="Q501" s="1">
        <f t="shared" si="332"/>
        <v>0</v>
      </c>
      <c r="R501" s="1">
        <v>289</v>
      </c>
      <c r="S501" s="1">
        <f t="shared" si="333"/>
        <v>1084039</v>
      </c>
      <c r="T501" s="1">
        <v>0</v>
      </c>
      <c r="U501" s="1">
        <v>50000</v>
      </c>
      <c r="V501" s="1">
        <v>0</v>
      </c>
      <c r="W501" s="1">
        <v>50000</v>
      </c>
      <c r="X501" s="1">
        <v>0</v>
      </c>
      <c r="Y501" s="1">
        <v>0</v>
      </c>
      <c r="Z501" s="1">
        <v>0</v>
      </c>
      <c r="AA501" s="1">
        <v>0</v>
      </c>
      <c r="AB501" s="1">
        <v>0</v>
      </c>
      <c r="AC501" s="1">
        <v>0</v>
      </c>
      <c r="AD501" s="1">
        <v>0</v>
      </c>
    </row>
    <row r="502" spans="1:30" s="20" customFormat="1" ht="36" customHeight="1" x14ac:dyDescent="0.25">
      <c r="A502" s="2">
        <f t="shared" si="303"/>
        <v>474</v>
      </c>
      <c r="B502" s="6">
        <f t="shared" si="335"/>
        <v>474</v>
      </c>
      <c r="C502" s="19" t="s">
        <v>309</v>
      </c>
      <c r="D502" s="4">
        <f t="shared" si="325"/>
        <v>5573547.5</v>
      </c>
      <c r="E502" s="1">
        <f t="shared" si="331"/>
        <v>3598047.5000000005</v>
      </c>
      <c r="F502" s="1">
        <f>804*916.7</f>
        <v>737026.8</v>
      </c>
      <c r="G502" s="1">
        <f>1693*916.7</f>
        <v>1551973.1</v>
      </c>
      <c r="H502" s="1">
        <f>390*916.7</f>
        <v>357513</v>
      </c>
      <c r="I502" s="1">
        <f>571*916.7</f>
        <v>523435.7</v>
      </c>
      <c r="J502" s="1">
        <f>467*916.7</f>
        <v>428098.9</v>
      </c>
      <c r="K502" s="1">
        <v>0</v>
      </c>
      <c r="L502" s="2">
        <v>0</v>
      </c>
      <c r="M502" s="1">
        <f t="shared" si="334"/>
        <v>0</v>
      </c>
      <c r="N502" s="1">
        <v>0</v>
      </c>
      <c r="O502" s="1">
        <v>0</v>
      </c>
      <c r="P502" s="1">
        <v>0</v>
      </c>
      <c r="Q502" s="1">
        <f t="shared" si="332"/>
        <v>0</v>
      </c>
      <c r="R502" s="1">
        <v>500</v>
      </c>
      <c r="S502" s="1">
        <f t="shared" si="333"/>
        <v>1875500</v>
      </c>
      <c r="T502" s="1">
        <v>0</v>
      </c>
      <c r="U502" s="1">
        <v>50000</v>
      </c>
      <c r="V502" s="1">
        <v>0</v>
      </c>
      <c r="W502" s="1">
        <v>50000</v>
      </c>
      <c r="X502" s="1">
        <v>0</v>
      </c>
      <c r="Y502" s="1">
        <v>0</v>
      </c>
      <c r="Z502" s="1">
        <v>0</v>
      </c>
      <c r="AA502" s="1">
        <v>0</v>
      </c>
      <c r="AB502" s="1">
        <v>0</v>
      </c>
      <c r="AC502" s="1">
        <v>0</v>
      </c>
      <c r="AD502" s="1">
        <v>0</v>
      </c>
    </row>
    <row r="503" spans="1:30" s="20" customFormat="1" ht="36" customHeight="1" x14ac:dyDescent="0.25">
      <c r="A503" s="2">
        <f t="shared" si="303"/>
        <v>475</v>
      </c>
      <c r="B503" s="6">
        <f t="shared" si="335"/>
        <v>475</v>
      </c>
      <c r="C503" s="19" t="s">
        <v>310</v>
      </c>
      <c r="D503" s="4">
        <f t="shared" si="325"/>
        <v>5970144.8000000007</v>
      </c>
      <c r="E503" s="1">
        <f t="shared" si="331"/>
        <v>3939130.0000000005</v>
      </c>
      <c r="F503" s="1">
        <f>804*1003.6</f>
        <v>806894.4</v>
      </c>
      <c r="G503" s="1">
        <f>1693*1003.6</f>
        <v>1699094.8</v>
      </c>
      <c r="H503" s="1">
        <f>390*1003.6</f>
        <v>391404</v>
      </c>
      <c r="I503" s="1">
        <f>571*1003.6</f>
        <v>573055.6</v>
      </c>
      <c r="J503" s="1">
        <f>467*1003.6</f>
        <v>468681.2</v>
      </c>
      <c r="K503" s="1">
        <v>0</v>
      </c>
      <c r="L503" s="2">
        <v>0</v>
      </c>
      <c r="M503" s="1">
        <f t="shared" si="334"/>
        <v>0</v>
      </c>
      <c r="N503" s="1">
        <v>0</v>
      </c>
      <c r="O503" s="1">
        <v>0</v>
      </c>
      <c r="P503" s="1">
        <v>0</v>
      </c>
      <c r="Q503" s="1">
        <f t="shared" si="332"/>
        <v>0</v>
      </c>
      <c r="R503" s="1">
        <v>514.79999999999995</v>
      </c>
      <c r="S503" s="1">
        <f t="shared" si="333"/>
        <v>1931014.7999999998</v>
      </c>
      <c r="T503" s="1">
        <v>0</v>
      </c>
      <c r="U503" s="1">
        <v>50000</v>
      </c>
      <c r="V503" s="1">
        <v>0</v>
      </c>
      <c r="W503" s="1">
        <v>50000</v>
      </c>
      <c r="X503" s="1">
        <v>0</v>
      </c>
      <c r="Y503" s="1">
        <v>0</v>
      </c>
      <c r="Z503" s="1">
        <v>0</v>
      </c>
      <c r="AA503" s="1">
        <v>0</v>
      </c>
      <c r="AB503" s="1">
        <v>0</v>
      </c>
      <c r="AC503" s="1">
        <v>0</v>
      </c>
      <c r="AD503" s="1">
        <v>0</v>
      </c>
    </row>
    <row r="504" spans="1:30" s="20" customFormat="1" ht="36" customHeight="1" x14ac:dyDescent="0.25">
      <c r="A504" s="2">
        <f t="shared" si="303"/>
        <v>476</v>
      </c>
      <c r="B504" s="6">
        <f t="shared" si="335"/>
        <v>476</v>
      </c>
      <c r="C504" s="19" t="s">
        <v>1814</v>
      </c>
      <c r="D504" s="4">
        <f t="shared" si="325"/>
        <v>5530843.5</v>
      </c>
      <c r="E504" s="1">
        <f t="shared" si="331"/>
        <v>3555343.5</v>
      </c>
      <c r="F504" s="1">
        <f>804*905.82</f>
        <v>728279.28</v>
      </c>
      <c r="G504" s="1">
        <f>1693*905.82</f>
        <v>1533553.26</v>
      </c>
      <c r="H504" s="1">
        <f>390*905.82</f>
        <v>353269.80000000005</v>
      </c>
      <c r="I504" s="1">
        <f>571*905.82</f>
        <v>517223.22000000003</v>
      </c>
      <c r="J504" s="1">
        <f>467*905.82</f>
        <v>423017.94</v>
      </c>
      <c r="K504" s="1">
        <v>0</v>
      </c>
      <c r="L504" s="2">
        <v>0</v>
      </c>
      <c r="M504" s="1">
        <f t="shared" si="334"/>
        <v>0</v>
      </c>
      <c r="N504" s="1">
        <v>0</v>
      </c>
      <c r="O504" s="1">
        <v>0</v>
      </c>
      <c r="P504" s="1">
        <v>0</v>
      </c>
      <c r="Q504" s="1">
        <f t="shared" si="332"/>
        <v>0</v>
      </c>
      <c r="R504" s="1">
        <v>500</v>
      </c>
      <c r="S504" s="1">
        <f t="shared" si="333"/>
        <v>1875500</v>
      </c>
      <c r="T504" s="1">
        <v>0</v>
      </c>
      <c r="U504" s="1">
        <v>50000</v>
      </c>
      <c r="V504" s="1">
        <v>0</v>
      </c>
      <c r="W504" s="1">
        <v>50000</v>
      </c>
      <c r="X504" s="1">
        <v>0</v>
      </c>
      <c r="Y504" s="1">
        <v>0</v>
      </c>
      <c r="Z504" s="1">
        <v>0</v>
      </c>
      <c r="AA504" s="1">
        <v>0</v>
      </c>
      <c r="AB504" s="1">
        <v>0</v>
      </c>
      <c r="AC504" s="1">
        <v>0</v>
      </c>
      <c r="AD504" s="1">
        <v>0</v>
      </c>
    </row>
    <row r="505" spans="1:30" s="20" customFormat="1" ht="36" customHeight="1" x14ac:dyDescent="0.25">
      <c r="A505" s="2">
        <f t="shared" si="303"/>
        <v>477</v>
      </c>
      <c r="B505" s="6">
        <f t="shared" si="335"/>
        <v>477</v>
      </c>
      <c r="C505" s="19" t="s">
        <v>1815</v>
      </c>
      <c r="D505" s="4">
        <f t="shared" si="325"/>
        <v>3814910.5</v>
      </c>
      <c r="E505" s="1">
        <f t="shared" si="331"/>
        <v>2514590.5</v>
      </c>
      <c r="F505" s="1">
        <f>804*640.66</f>
        <v>515090.63999999996</v>
      </c>
      <c r="G505" s="1">
        <f>1693*640.66</f>
        <v>1084637.3799999999</v>
      </c>
      <c r="H505" s="1">
        <f>390*640.66</f>
        <v>249857.4</v>
      </c>
      <c r="I505" s="1">
        <f>571*640.66</f>
        <v>365816.86</v>
      </c>
      <c r="J505" s="1">
        <f>467*640.66</f>
        <v>299188.21999999997</v>
      </c>
      <c r="K505" s="1">
        <v>0</v>
      </c>
      <c r="L505" s="2">
        <v>0</v>
      </c>
      <c r="M505" s="1">
        <f t="shared" si="334"/>
        <v>0</v>
      </c>
      <c r="N505" s="1">
        <v>0</v>
      </c>
      <c r="O505" s="1">
        <v>0</v>
      </c>
      <c r="P505" s="1">
        <v>0</v>
      </c>
      <c r="Q505" s="1">
        <f t="shared" si="332"/>
        <v>0</v>
      </c>
      <c r="R505" s="1">
        <v>320</v>
      </c>
      <c r="S505" s="1">
        <f t="shared" si="333"/>
        <v>1200320</v>
      </c>
      <c r="T505" s="1">
        <v>0</v>
      </c>
      <c r="U505" s="1">
        <v>50000</v>
      </c>
      <c r="V505" s="1">
        <v>0</v>
      </c>
      <c r="W505" s="1">
        <v>50000</v>
      </c>
      <c r="X505" s="1">
        <v>0</v>
      </c>
      <c r="Y505" s="1">
        <v>0</v>
      </c>
      <c r="Z505" s="1">
        <v>0</v>
      </c>
      <c r="AA505" s="1">
        <v>0</v>
      </c>
      <c r="AB505" s="1">
        <v>0</v>
      </c>
      <c r="AC505" s="1">
        <v>0</v>
      </c>
      <c r="AD505" s="1">
        <v>0</v>
      </c>
    </row>
    <row r="506" spans="1:30" s="20" customFormat="1" ht="36" customHeight="1" x14ac:dyDescent="0.25">
      <c r="A506" s="2">
        <f t="shared" si="303"/>
        <v>478</v>
      </c>
      <c r="B506" s="6">
        <f t="shared" si="335"/>
        <v>478</v>
      </c>
      <c r="C506" s="19" t="s">
        <v>311</v>
      </c>
      <c r="D506" s="4">
        <f t="shared" si="325"/>
        <v>6031310</v>
      </c>
      <c r="E506" s="1">
        <f t="shared" si="331"/>
        <v>2026085</v>
      </c>
      <c r="F506" s="1">
        <f>804*516.2</f>
        <v>415024.80000000005</v>
      </c>
      <c r="G506" s="1">
        <f>1693*516.2</f>
        <v>873926.60000000009</v>
      </c>
      <c r="H506" s="1">
        <f>390*516.2</f>
        <v>201318.00000000003</v>
      </c>
      <c r="I506" s="1">
        <f>571*516.2</f>
        <v>294750.2</v>
      </c>
      <c r="J506" s="1">
        <f>467*516.2</f>
        <v>241065.40000000002</v>
      </c>
      <c r="K506" s="1">
        <v>0</v>
      </c>
      <c r="L506" s="2">
        <v>0</v>
      </c>
      <c r="M506" s="1">
        <f t="shared" si="334"/>
        <v>0</v>
      </c>
      <c r="N506" s="1">
        <v>358.7</v>
      </c>
      <c r="O506" s="1">
        <f>N506*7750</f>
        <v>2779925</v>
      </c>
      <c r="P506" s="1">
        <v>0</v>
      </c>
      <c r="Q506" s="1">
        <f t="shared" si="332"/>
        <v>0</v>
      </c>
      <c r="R506" s="1">
        <v>300</v>
      </c>
      <c r="S506" s="1">
        <f t="shared" si="333"/>
        <v>1125300</v>
      </c>
      <c r="T506" s="1">
        <v>0</v>
      </c>
      <c r="U506" s="1">
        <v>50000</v>
      </c>
      <c r="V506" s="1">
        <v>0</v>
      </c>
      <c r="W506" s="1">
        <v>50000</v>
      </c>
      <c r="X506" s="1">
        <v>0</v>
      </c>
      <c r="Y506" s="1">
        <v>0</v>
      </c>
      <c r="Z506" s="1">
        <v>0</v>
      </c>
      <c r="AA506" s="1">
        <v>0</v>
      </c>
      <c r="AB506" s="1">
        <v>0</v>
      </c>
      <c r="AC506" s="1">
        <v>0</v>
      </c>
      <c r="AD506" s="1">
        <v>0</v>
      </c>
    </row>
    <row r="507" spans="1:30" s="20" customFormat="1" ht="36" customHeight="1" x14ac:dyDescent="0.25">
      <c r="A507" s="2">
        <f t="shared" si="303"/>
        <v>479</v>
      </c>
      <c r="B507" s="6">
        <f t="shared" si="335"/>
        <v>479</v>
      </c>
      <c r="C507" s="30" t="s">
        <v>312</v>
      </c>
      <c r="D507" s="4">
        <f t="shared" si="325"/>
        <v>7079288.3999999994</v>
      </c>
      <c r="E507" s="1">
        <f t="shared" si="331"/>
        <v>4878728.3999999994</v>
      </c>
      <c r="F507" s="1">
        <f>804*1454.6</f>
        <v>1169498.3999999999</v>
      </c>
      <c r="G507" s="1">
        <f>1693*1454.6</f>
        <v>2462637.7999999998</v>
      </c>
      <c r="H507" s="1">
        <f>390*1454.6</f>
        <v>567294</v>
      </c>
      <c r="I507" s="1">
        <v>0</v>
      </c>
      <c r="J507" s="1">
        <f>467*1454.6</f>
        <v>679298.2</v>
      </c>
      <c r="K507" s="1">
        <v>0</v>
      </c>
      <c r="L507" s="2">
        <v>0</v>
      </c>
      <c r="M507" s="1">
        <f t="shared" si="334"/>
        <v>0</v>
      </c>
      <c r="N507" s="1">
        <v>0</v>
      </c>
      <c r="O507" s="1">
        <v>0</v>
      </c>
      <c r="P507" s="1">
        <v>0</v>
      </c>
      <c r="Q507" s="1">
        <f t="shared" si="332"/>
        <v>0</v>
      </c>
      <c r="R507" s="1">
        <v>560</v>
      </c>
      <c r="S507" s="1">
        <f t="shared" si="333"/>
        <v>2100560</v>
      </c>
      <c r="T507" s="1">
        <v>0</v>
      </c>
      <c r="U507" s="1">
        <v>50000</v>
      </c>
      <c r="V507" s="1">
        <v>0</v>
      </c>
      <c r="W507" s="1">
        <v>50000</v>
      </c>
      <c r="X507" s="1">
        <v>0</v>
      </c>
      <c r="Y507" s="1">
        <v>0</v>
      </c>
      <c r="Z507" s="1">
        <v>0</v>
      </c>
      <c r="AA507" s="1">
        <v>0</v>
      </c>
      <c r="AB507" s="1">
        <v>0</v>
      </c>
      <c r="AC507" s="1">
        <v>0</v>
      </c>
      <c r="AD507" s="1">
        <v>0</v>
      </c>
    </row>
    <row r="508" spans="1:30" s="20" customFormat="1" ht="36" customHeight="1" x14ac:dyDescent="0.25">
      <c r="A508" s="2">
        <f t="shared" si="303"/>
        <v>480</v>
      </c>
      <c r="B508" s="6">
        <f t="shared" si="335"/>
        <v>480</v>
      </c>
      <c r="C508" s="30" t="s">
        <v>313</v>
      </c>
      <c r="D508" s="4">
        <f t="shared" si="325"/>
        <v>3649934.7200000007</v>
      </c>
      <c r="E508" s="1">
        <f t="shared" si="331"/>
        <v>2476023.4200000004</v>
      </c>
      <c r="F508" s="1">
        <f>804*738.23</f>
        <v>593536.92000000004</v>
      </c>
      <c r="G508" s="1">
        <f>1693*738.23</f>
        <v>1249823.3900000001</v>
      </c>
      <c r="H508" s="1">
        <f>390*738.23</f>
        <v>287909.7</v>
      </c>
      <c r="I508" s="1">
        <v>0</v>
      </c>
      <c r="J508" s="1">
        <f>467*738.23</f>
        <v>344753.41000000003</v>
      </c>
      <c r="K508" s="1">
        <v>0</v>
      </c>
      <c r="L508" s="2">
        <v>0</v>
      </c>
      <c r="M508" s="1">
        <f t="shared" si="334"/>
        <v>0</v>
      </c>
      <c r="N508" s="1">
        <v>0</v>
      </c>
      <c r="O508" s="1">
        <v>0</v>
      </c>
      <c r="P508" s="1">
        <v>0</v>
      </c>
      <c r="Q508" s="1">
        <f t="shared" si="332"/>
        <v>0</v>
      </c>
      <c r="R508" s="1">
        <v>286.3</v>
      </c>
      <c r="S508" s="1">
        <f t="shared" si="333"/>
        <v>1073911.3</v>
      </c>
      <c r="T508" s="1">
        <v>0</v>
      </c>
      <c r="U508" s="1">
        <v>50000</v>
      </c>
      <c r="V508" s="1">
        <v>0</v>
      </c>
      <c r="W508" s="1">
        <v>50000</v>
      </c>
      <c r="X508" s="1">
        <v>0</v>
      </c>
      <c r="Y508" s="1">
        <v>0</v>
      </c>
      <c r="Z508" s="1">
        <v>0</v>
      </c>
      <c r="AA508" s="1">
        <v>0</v>
      </c>
      <c r="AB508" s="1">
        <v>0</v>
      </c>
      <c r="AC508" s="1">
        <v>0</v>
      </c>
      <c r="AD508" s="1">
        <v>0</v>
      </c>
    </row>
    <row r="509" spans="1:30" s="20" customFormat="1" ht="36" customHeight="1" x14ac:dyDescent="0.25">
      <c r="A509" s="2">
        <f t="shared" si="303"/>
        <v>481</v>
      </c>
      <c r="B509" s="6">
        <f t="shared" si="335"/>
        <v>481</v>
      </c>
      <c r="C509" s="30" t="s">
        <v>314</v>
      </c>
      <c r="D509" s="4">
        <f t="shared" si="325"/>
        <v>4422626.5999999996</v>
      </c>
      <c r="E509" s="1">
        <f t="shared" si="331"/>
        <v>2709696.5999999996</v>
      </c>
      <c r="F509" s="1">
        <f>804*807.9</f>
        <v>649551.6</v>
      </c>
      <c r="G509" s="1">
        <f>1693*807.9</f>
        <v>1367774.7</v>
      </c>
      <c r="H509" s="1">
        <f>390*807.9</f>
        <v>315081</v>
      </c>
      <c r="I509" s="1">
        <v>0</v>
      </c>
      <c r="J509" s="1">
        <f>467*807.9</f>
        <v>377289.3</v>
      </c>
      <c r="K509" s="1">
        <v>0</v>
      </c>
      <c r="L509" s="2">
        <v>0</v>
      </c>
      <c r="M509" s="1">
        <f t="shared" si="334"/>
        <v>0</v>
      </c>
      <c r="N509" s="1">
        <v>0</v>
      </c>
      <c r="O509" s="1">
        <v>0</v>
      </c>
      <c r="P509" s="1">
        <v>0</v>
      </c>
      <c r="Q509" s="1">
        <f t="shared" si="332"/>
        <v>0</v>
      </c>
      <c r="R509" s="1">
        <v>430</v>
      </c>
      <c r="S509" s="1">
        <f t="shared" si="333"/>
        <v>1612930</v>
      </c>
      <c r="T509" s="1">
        <v>0</v>
      </c>
      <c r="U509" s="1">
        <v>50000</v>
      </c>
      <c r="V509" s="1">
        <v>0</v>
      </c>
      <c r="W509" s="1">
        <v>50000</v>
      </c>
      <c r="X509" s="1">
        <v>0</v>
      </c>
      <c r="Y509" s="1">
        <v>0</v>
      </c>
      <c r="Z509" s="1">
        <v>0</v>
      </c>
      <c r="AA509" s="1">
        <v>0</v>
      </c>
      <c r="AB509" s="1">
        <v>0</v>
      </c>
      <c r="AC509" s="1">
        <v>0</v>
      </c>
      <c r="AD509" s="1">
        <v>0</v>
      </c>
    </row>
    <row r="510" spans="1:30" s="20" customFormat="1" ht="36" customHeight="1" x14ac:dyDescent="0.25">
      <c r="A510" s="2">
        <f t="shared" si="303"/>
        <v>482</v>
      </c>
      <c r="B510" s="6">
        <f t="shared" si="335"/>
        <v>482</v>
      </c>
      <c r="C510" s="30" t="s">
        <v>315</v>
      </c>
      <c r="D510" s="4">
        <f t="shared" si="325"/>
        <v>4514416.5999999996</v>
      </c>
      <c r="E510" s="1">
        <f t="shared" si="331"/>
        <v>2726466.5999999996</v>
      </c>
      <c r="F510" s="1">
        <f>804*812.9</f>
        <v>653571.6</v>
      </c>
      <c r="G510" s="1">
        <f>1693*812.9</f>
        <v>1376239.7</v>
      </c>
      <c r="H510" s="1">
        <f>390*812.9</f>
        <v>317031</v>
      </c>
      <c r="I510" s="1">
        <v>0</v>
      </c>
      <c r="J510" s="1">
        <f>467*812.9</f>
        <v>379624.3</v>
      </c>
      <c r="K510" s="1">
        <v>0</v>
      </c>
      <c r="L510" s="2">
        <v>0</v>
      </c>
      <c r="M510" s="1">
        <f t="shared" si="334"/>
        <v>0</v>
      </c>
      <c r="N510" s="1">
        <v>0</v>
      </c>
      <c r="O510" s="1">
        <v>0</v>
      </c>
      <c r="P510" s="1">
        <v>0</v>
      </c>
      <c r="Q510" s="1">
        <f t="shared" si="332"/>
        <v>0</v>
      </c>
      <c r="R510" s="1">
        <v>450</v>
      </c>
      <c r="S510" s="1">
        <f t="shared" si="333"/>
        <v>1687950</v>
      </c>
      <c r="T510" s="1">
        <v>0</v>
      </c>
      <c r="U510" s="1">
        <v>50000</v>
      </c>
      <c r="V510" s="1">
        <v>0</v>
      </c>
      <c r="W510" s="1">
        <v>50000</v>
      </c>
      <c r="X510" s="1">
        <v>0</v>
      </c>
      <c r="Y510" s="1">
        <v>0</v>
      </c>
      <c r="Z510" s="1">
        <v>0</v>
      </c>
      <c r="AA510" s="1">
        <v>0</v>
      </c>
      <c r="AB510" s="1">
        <v>0</v>
      </c>
      <c r="AC510" s="1">
        <v>0</v>
      </c>
      <c r="AD510" s="1">
        <v>0</v>
      </c>
    </row>
    <row r="511" spans="1:30" s="20" customFormat="1" ht="36" customHeight="1" x14ac:dyDescent="0.25">
      <c r="A511" s="2">
        <f t="shared" si="303"/>
        <v>483</v>
      </c>
      <c r="B511" s="6">
        <f t="shared" si="335"/>
        <v>483</v>
      </c>
      <c r="C511" s="30" t="s">
        <v>316</v>
      </c>
      <c r="D511" s="4">
        <f t="shared" si="325"/>
        <v>4495606.8000000007</v>
      </c>
      <c r="E511" s="1">
        <f t="shared" si="331"/>
        <v>2688901.8000000003</v>
      </c>
      <c r="F511" s="1">
        <f>804*801.7</f>
        <v>644566.80000000005</v>
      </c>
      <c r="G511" s="1">
        <f>1693*801.7</f>
        <v>1357278.1</v>
      </c>
      <c r="H511" s="1">
        <f>390*801.7</f>
        <v>312663</v>
      </c>
      <c r="I511" s="1">
        <v>0</v>
      </c>
      <c r="J511" s="1">
        <f>467*801.7</f>
        <v>374393.9</v>
      </c>
      <c r="K511" s="1">
        <v>0</v>
      </c>
      <c r="L511" s="2">
        <v>0</v>
      </c>
      <c r="M511" s="1">
        <f t="shared" si="334"/>
        <v>0</v>
      </c>
      <c r="N511" s="1">
        <v>0</v>
      </c>
      <c r="O511" s="1">
        <v>0</v>
      </c>
      <c r="P511" s="1">
        <v>0</v>
      </c>
      <c r="Q511" s="1">
        <f t="shared" si="332"/>
        <v>0</v>
      </c>
      <c r="R511" s="1">
        <v>455</v>
      </c>
      <c r="S511" s="1">
        <f t="shared" si="333"/>
        <v>1706705</v>
      </c>
      <c r="T511" s="1">
        <v>0</v>
      </c>
      <c r="U511" s="1">
        <v>50000</v>
      </c>
      <c r="V511" s="1">
        <v>0</v>
      </c>
      <c r="W511" s="1">
        <v>50000</v>
      </c>
      <c r="X511" s="1">
        <v>0</v>
      </c>
      <c r="Y511" s="1">
        <v>0</v>
      </c>
      <c r="Z511" s="1">
        <v>0</v>
      </c>
      <c r="AA511" s="1">
        <v>0</v>
      </c>
      <c r="AB511" s="1">
        <v>0</v>
      </c>
      <c r="AC511" s="1">
        <v>0</v>
      </c>
      <c r="AD511" s="1">
        <v>0</v>
      </c>
    </row>
    <row r="512" spans="1:30" s="20" customFormat="1" ht="36" customHeight="1" x14ac:dyDescent="0.25">
      <c r="A512" s="2">
        <f t="shared" si="303"/>
        <v>484</v>
      </c>
      <c r="B512" s="6">
        <f t="shared" si="335"/>
        <v>484</v>
      </c>
      <c r="C512" s="30" t="s">
        <v>317</v>
      </c>
      <c r="D512" s="4">
        <f t="shared" si="325"/>
        <v>4403063.8000000007</v>
      </c>
      <c r="E512" s="1">
        <f t="shared" si="331"/>
        <v>2615113.8000000003</v>
      </c>
      <c r="F512" s="1">
        <f>804*779.7</f>
        <v>626878.80000000005</v>
      </c>
      <c r="G512" s="1">
        <f>1693*779.7</f>
        <v>1320032.1000000001</v>
      </c>
      <c r="H512" s="1">
        <f>390*779.7</f>
        <v>304083</v>
      </c>
      <c r="I512" s="1">
        <v>0</v>
      </c>
      <c r="J512" s="1">
        <f>467*779.7</f>
        <v>364119.9</v>
      </c>
      <c r="K512" s="1">
        <v>0</v>
      </c>
      <c r="L512" s="2">
        <v>0</v>
      </c>
      <c r="M512" s="1">
        <f t="shared" si="334"/>
        <v>0</v>
      </c>
      <c r="N512" s="1">
        <v>0</v>
      </c>
      <c r="O512" s="1">
        <v>0</v>
      </c>
      <c r="P512" s="1">
        <v>0</v>
      </c>
      <c r="Q512" s="1">
        <f t="shared" si="332"/>
        <v>0</v>
      </c>
      <c r="R512" s="1">
        <v>450</v>
      </c>
      <c r="S512" s="1">
        <f t="shared" si="333"/>
        <v>1687950</v>
      </c>
      <c r="T512" s="1">
        <v>0</v>
      </c>
      <c r="U512" s="1">
        <v>50000</v>
      </c>
      <c r="V512" s="1">
        <v>0</v>
      </c>
      <c r="W512" s="1">
        <v>50000</v>
      </c>
      <c r="X512" s="1">
        <v>0</v>
      </c>
      <c r="Y512" s="1">
        <v>0</v>
      </c>
      <c r="Z512" s="1">
        <v>0</v>
      </c>
      <c r="AA512" s="1">
        <v>0</v>
      </c>
      <c r="AB512" s="1">
        <v>0</v>
      </c>
      <c r="AC512" s="1">
        <v>0</v>
      </c>
      <c r="AD512" s="1">
        <v>0</v>
      </c>
    </row>
    <row r="513" spans="1:30" s="20" customFormat="1" ht="36" customHeight="1" x14ac:dyDescent="0.25">
      <c r="A513" s="2">
        <f t="shared" si="303"/>
        <v>485</v>
      </c>
      <c r="B513" s="6">
        <f t="shared" si="335"/>
        <v>485</v>
      </c>
      <c r="C513" s="30" t="s">
        <v>318</v>
      </c>
      <c r="D513" s="4">
        <f t="shared" si="325"/>
        <v>4543764.0999999996</v>
      </c>
      <c r="E513" s="1">
        <f t="shared" si="331"/>
        <v>2755814.0999999996</v>
      </c>
      <c r="F513" s="1">
        <f>804*821.65</f>
        <v>660606.6</v>
      </c>
      <c r="G513" s="1">
        <f>1693*821.65</f>
        <v>1391053.45</v>
      </c>
      <c r="H513" s="1">
        <f>390*821.65</f>
        <v>320443.5</v>
      </c>
      <c r="I513" s="1">
        <v>0</v>
      </c>
      <c r="J513" s="1">
        <f>467*821.65</f>
        <v>383710.55</v>
      </c>
      <c r="K513" s="1">
        <v>0</v>
      </c>
      <c r="L513" s="2">
        <v>0</v>
      </c>
      <c r="M513" s="1">
        <f t="shared" si="334"/>
        <v>0</v>
      </c>
      <c r="N513" s="1">
        <v>0</v>
      </c>
      <c r="O513" s="1">
        <v>0</v>
      </c>
      <c r="P513" s="1">
        <v>0</v>
      </c>
      <c r="Q513" s="1">
        <f t="shared" si="332"/>
        <v>0</v>
      </c>
      <c r="R513" s="1">
        <v>450</v>
      </c>
      <c r="S513" s="1">
        <f t="shared" si="333"/>
        <v>1687950</v>
      </c>
      <c r="T513" s="1">
        <v>0</v>
      </c>
      <c r="U513" s="1">
        <v>50000</v>
      </c>
      <c r="V513" s="1">
        <v>0</v>
      </c>
      <c r="W513" s="1">
        <v>50000</v>
      </c>
      <c r="X513" s="1">
        <v>0</v>
      </c>
      <c r="Y513" s="1">
        <v>0</v>
      </c>
      <c r="Z513" s="1">
        <v>0</v>
      </c>
      <c r="AA513" s="1">
        <v>0</v>
      </c>
      <c r="AB513" s="1">
        <v>0</v>
      </c>
      <c r="AC513" s="1">
        <v>0</v>
      </c>
      <c r="AD513" s="1">
        <v>0</v>
      </c>
    </row>
    <row r="514" spans="1:30" s="20" customFormat="1" ht="36" customHeight="1" x14ac:dyDescent="0.25">
      <c r="A514" s="2">
        <f t="shared" si="303"/>
        <v>486</v>
      </c>
      <c r="B514" s="6">
        <f t="shared" si="335"/>
        <v>486</v>
      </c>
      <c r="C514" s="30" t="s">
        <v>319</v>
      </c>
      <c r="D514" s="4">
        <f t="shared" si="325"/>
        <v>4548459.6999999993</v>
      </c>
      <c r="E514" s="1">
        <f t="shared" si="331"/>
        <v>2760509.6999999997</v>
      </c>
      <c r="F514" s="1">
        <f>804*823.05</f>
        <v>661732.19999999995</v>
      </c>
      <c r="G514" s="1">
        <f>1693*823.05</f>
        <v>1393423.65</v>
      </c>
      <c r="H514" s="1">
        <f>390*823.05</f>
        <v>320989.5</v>
      </c>
      <c r="I514" s="1">
        <v>0</v>
      </c>
      <c r="J514" s="1">
        <f>467*823.05</f>
        <v>384364.35</v>
      </c>
      <c r="K514" s="1">
        <v>0</v>
      </c>
      <c r="L514" s="2">
        <v>0</v>
      </c>
      <c r="M514" s="1">
        <f t="shared" si="334"/>
        <v>0</v>
      </c>
      <c r="N514" s="1">
        <v>0</v>
      </c>
      <c r="O514" s="1">
        <v>0</v>
      </c>
      <c r="P514" s="1">
        <v>0</v>
      </c>
      <c r="Q514" s="1">
        <f t="shared" si="332"/>
        <v>0</v>
      </c>
      <c r="R514" s="1">
        <v>450</v>
      </c>
      <c r="S514" s="1">
        <f t="shared" si="333"/>
        <v>1687950</v>
      </c>
      <c r="T514" s="1">
        <v>0</v>
      </c>
      <c r="U514" s="1">
        <v>50000</v>
      </c>
      <c r="V514" s="1">
        <v>0</v>
      </c>
      <c r="W514" s="1">
        <v>50000</v>
      </c>
      <c r="X514" s="1">
        <v>0</v>
      </c>
      <c r="Y514" s="1">
        <v>0</v>
      </c>
      <c r="Z514" s="1">
        <v>0</v>
      </c>
      <c r="AA514" s="1">
        <v>0</v>
      </c>
      <c r="AB514" s="1">
        <v>0</v>
      </c>
      <c r="AC514" s="1">
        <v>0</v>
      </c>
      <c r="AD514" s="1">
        <v>0</v>
      </c>
    </row>
    <row r="515" spans="1:30" s="20" customFormat="1" ht="36" customHeight="1" x14ac:dyDescent="0.25">
      <c r="A515" s="2">
        <f t="shared" si="303"/>
        <v>487</v>
      </c>
      <c r="B515" s="6">
        <f t="shared" ref="B515:B607" si="336">A515</f>
        <v>487</v>
      </c>
      <c r="C515" s="30" t="s">
        <v>320</v>
      </c>
      <c r="D515" s="4">
        <f t="shared" ref="D515:D543" si="337">E515+M515+O515+Q515+S515+T515+U515+V515+W515+X515+Z515+AA515+AB515+AC515+AD515</f>
        <v>4341048.34</v>
      </c>
      <c r="E515" s="1">
        <f t="shared" si="331"/>
        <v>2553098.34</v>
      </c>
      <c r="F515" s="1">
        <f>804*761.21</f>
        <v>612012.84000000008</v>
      </c>
      <c r="G515" s="1">
        <f>1693*761.21</f>
        <v>1288728.53</v>
      </c>
      <c r="H515" s="1">
        <f>390*761.21</f>
        <v>296871.90000000002</v>
      </c>
      <c r="I515" s="1">
        <v>0</v>
      </c>
      <c r="J515" s="1">
        <f>467*761.21</f>
        <v>355485.07</v>
      </c>
      <c r="K515" s="1">
        <v>0</v>
      </c>
      <c r="L515" s="2">
        <v>0</v>
      </c>
      <c r="M515" s="1">
        <f t="shared" si="334"/>
        <v>0</v>
      </c>
      <c r="N515" s="1">
        <v>0</v>
      </c>
      <c r="O515" s="1">
        <v>0</v>
      </c>
      <c r="P515" s="1">
        <v>0</v>
      </c>
      <c r="Q515" s="1">
        <f t="shared" si="332"/>
        <v>0</v>
      </c>
      <c r="R515" s="1">
        <v>450</v>
      </c>
      <c r="S515" s="1">
        <f t="shared" si="333"/>
        <v>1687950</v>
      </c>
      <c r="T515" s="1">
        <v>0</v>
      </c>
      <c r="U515" s="1">
        <v>50000</v>
      </c>
      <c r="V515" s="1">
        <v>0</v>
      </c>
      <c r="W515" s="1">
        <v>50000</v>
      </c>
      <c r="X515" s="1">
        <v>0</v>
      </c>
      <c r="Y515" s="1">
        <v>0</v>
      </c>
      <c r="Z515" s="1">
        <v>0</v>
      </c>
      <c r="AA515" s="1">
        <v>0</v>
      </c>
      <c r="AB515" s="1">
        <v>0</v>
      </c>
      <c r="AC515" s="1">
        <v>0</v>
      </c>
      <c r="AD515" s="1">
        <v>0</v>
      </c>
    </row>
    <row r="516" spans="1:30" s="20" customFormat="1" ht="36" customHeight="1" x14ac:dyDescent="0.25">
      <c r="A516" s="2">
        <f t="shared" si="303"/>
        <v>488</v>
      </c>
      <c r="B516" s="6">
        <f t="shared" si="336"/>
        <v>488</v>
      </c>
      <c r="C516" s="30" t="s">
        <v>321</v>
      </c>
      <c r="D516" s="4">
        <f t="shared" si="337"/>
        <v>4538967.88</v>
      </c>
      <c r="E516" s="1">
        <f t="shared" si="331"/>
        <v>2751017.88</v>
      </c>
      <c r="F516" s="1">
        <f>804*820.22</f>
        <v>659456.88</v>
      </c>
      <c r="G516" s="1">
        <f>1693*820.22</f>
        <v>1388632.46</v>
      </c>
      <c r="H516" s="1">
        <f>390*820.22</f>
        <v>319885.8</v>
      </c>
      <c r="I516" s="1">
        <v>0</v>
      </c>
      <c r="J516" s="1">
        <f>467*820.22</f>
        <v>383042.74</v>
      </c>
      <c r="K516" s="1">
        <v>0</v>
      </c>
      <c r="L516" s="2">
        <v>0</v>
      </c>
      <c r="M516" s="1">
        <f t="shared" si="334"/>
        <v>0</v>
      </c>
      <c r="N516" s="1">
        <v>0</v>
      </c>
      <c r="O516" s="1">
        <v>0</v>
      </c>
      <c r="P516" s="1">
        <v>0</v>
      </c>
      <c r="Q516" s="1">
        <f t="shared" si="332"/>
        <v>0</v>
      </c>
      <c r="R516" s="1">
        <v>450</v>
      </c>
      <c r="S516" s="1">
        <f t="shared" si="333"/>
        <v>1687950</v>
      </c>
      <c r="T516" s="1">
        <v>0</v>
      </c>
      <c r="U516" s="1">
        <v>50000</v>
      </c>
      <c r="V516" s="1">
        <v>0</v>
      </c>
      <c r="W516" s="1">
        <v>50000</v>
      </c>
      <c r="X516" s="1">
        <v>0</v>
      </c>
      <c r="Y516" s="1">
        <v>0</v>
      </c>
      <c r="Z516" s="1">
        <v>0</v>
      </c>
      <c r="AA516" s="1">
        <v>0</v>
      </c>
      <c r="AB516" s="1">
        <v>0</v>
      </c>
      <c r="AC516" s="1">
        <v>0</v>
      </c>
      <c r="AD516" s="1">
        <v>0</v>
      </c>
    </row>
    <row r="517" spans="1:30" s="20" customFormat="1" ht="36" customHeight="1" x14ac:dyDescent="0.25">
      <c r="A517" s="2">
        <f t="shared" si="303"/>
        <v>489</v>
      </c>
      <c r="B517" s="6">
        <f t="shared" si="336"/>
        <v>489</v>
      </c>
      <c r="C517" s="30" t="s">
        <v>322</v>
      </c>
      <c r="D517" s="4">
        <f t="shared" si="337"/>
        <v>4535043.6999999993</v>
      </c>
      <c r="E517" s="1">
        <f t="shared" si="331"/>
        <v>2747093.6999999997</v>
      </c>
      <c r="F517" s="1">
        <f>804*819.05</f>
        <v>658516.19999999995</v>
      </c>
      <c r="G517" s="1">
        <f>1693*819.05</f>
        <v>1386651.65</v>
      </c>
      <c r="H517" s="1">
        <f>390*819.05</f>
        <v>319429.5</v>
      </c>
      <c r="I517" s="1">
        <v>0</v>
      </c>
      <c r="J517" s="1">
        <f>467*819.05</f>
        <v>382496.35</v>
      </c>
      <c r="K517" s="1">
        <v>0</v>
      </c>
      <c r="L517" s="2">
        <v>0</v>
      </c>
      <c r="M517" s="1">
        <f t="shared" si="334"/>
        <v>0</v>
      </c>
      <c r="N517" s="1">
        <v>0</v>
      </c>
      <c r="O517" s="1">
        <v>0</v>
      </c>
      <c r="P517" s="1">
        <v>0</v>
      </c>
      <c r="Q517" s="1">
        <f t="shared" si="332"/>
        <v>0</v>
      </c>
      <c r="R517" s="1">
        <v>450</v>
      </c>
      <c r="S517" s="1">
        <f t="shared" si="333"/>
        <v>1687950</v>
      </c>
      <c r="T517" s="1">
        <v>0</v>
      </c>
      <c r="U517" s="1">
        <v>50000</v>
      </c>
      <c r="V517" s="1">
        <v>0</v>
      </c>
      <c r="W517" s="1">
        <v>50000</v>
      </c>
      <c r="X517" s="1">
        <v>0</v>
      </c>
      <c r="Y517" s="1">
        <v>0</v>
      </c>
      <c r="Z517" s="1">
        <v>0</v>
      </c>
      <c r="AA517" s="1">
        <v>0</v>
      </c>
      <c r="AB517" s="1">
        <v>0</v>
      </c>
      <c r="AC517" s="1">
        <v>0</v>
      </c>
      <c r="AD517" s="1">
        <v>0</v>
      </c>
    </row>
    <row r="518" spans="1:30" s="20" customFormat="1" ht="36" customHeight="1" x14ac:dyDescent="0.25">
      <c r="A518" s="2">
        <f t="shared" si="303"/>
        <v>490</v>
      </c>
      <c r="B518" s="6">
        <f t="shared" si="336"/>
        <v>490</v>
      </c>
      <c r="C518" s="30" t="s">
        <v>323</v>
      </c>
      <c r="D518" s="4">
        <f t="shared" si="337"/>
        <v>4529207.74</v>
      </c>
      <c r="E518" s="1">
        <f t="shared" si="331"/>
        <v>2741257.7399999998</v>
      </c>
      <c r="F518" s="1">
        <f>804*817.31</f>
        <v>657117.24</v>
      </c>
      <c r="G518" s="1">
        <f>1693*817.31</f>
        <v>1383705.8299999998</v>
      </c>
      <c r="H518" s="1">
        <f>390*817.31</f>
        <v>318750.89999999997</v>
      </c>
      <c r="I518" s="1">
        <v>0</v>
      </c>
      <c r="J518" s="1">
        <f>467*817.31</f>
        <v>381683.76999999996</v>
      </c>
      <c r="K518" s="1">
        <v>0</v>
      </c>
      <c r="L518" s="2">
        <v>0</v>
      </c>
      <c r="M518" s="1">
        <f t="shared" si="334"/>
        <v>0</v>
      </c>
      <c r="N518" s="1">
        <v>0</v>
      </c>
      <c r="O518" s="1">
        <v>0</v>
      </c>
      <c r="P518" s="1">
        <v>0</v>
      </c>
      <c r="Q518" s="1">
        <f t="shared" si="332"/>
        <v>0</v>
      </c>
      <c r="R518" s="1">
        <v>450</v>
      </c>
      <c r="S518" s="1">
        <f t="shared" si="333"/>
        <v>1687950</v>
      </c>
      <c r="T518" s="1">
        <v>0</v>
      </c>
      <c r="U518" s="1">
        <v>50000</v>
      </c>
      <c r="V518" s="1">
        <v>0</v>
      </c>
      <c r="W518" s="1">
        <v>50000</v>
      </c>
      <c r="X518" s="1">
        <v>0</v>
      </c>
      <c r="Y518" s="1">
        <v>0</v>
      </c>
      <c r="Z518" s="1">
        <v>0</v>
      </c>
      <c r="AA518" s="1">
        <v>0</v>
      </c>
      <c r="AB518" s="1">
        <v>0</v>
      </c>
      <c r="AC518" s="1">
        <v>0</v>
      </c>
      <c r="AD518" s="1">
        <v>0</v>
      </c>
    </row>
    <row r="519" spans="1:30" s="20" customFormat="1" ht="36" customHeight="1" x14ac:dyDescent="0.25">
      <c r="A519" s="2">
        <f t="shared" si="303"/>
        <v>491</v>
      </c>
      <c r="B519" s="6">
        <f t="shared" si="336"/>
        <v>491</v>
      </c>
      <c r="C519" s="30" t="s">
        <v>324</v>
      </c>
      <c r="D519" s="4">
        <f t="shared" si="337"/>
        <v>4544736.76</v>
      </c>
      <c r="E519" s="1">
        <f t="shared" si="331"/>
        <v>2756786.7600000002</v>
      </c>
      <c r="F519" s="1">
        <f>804*821.94</f>
        <v>660839.76</v>
      </c>
      <c r="G519" s="1">
        <f>1693*821.94</f>
        <v>1391544.4200000002</v>
      </c>
      <c r="H519" s="1">
        <f>390*821.94</f>
        <v>320556.60000000003</v>
      </c>
      <c r="I519" s="1">
        <v>0</v>
      </c>
      <c r="J519" s="1">
        <f>467*821.94</f>
        <v>383845.98000000004</v>
      </c>
      <c r="K519" s="1">
        <v>0</v>
      </c>
      <c r="L519" s="2">
        <v>0</v>
      </c>
      <c r="M519" s="1">
        <f t="shared" si="334"/>
        <v>0</v>
      </c>
      <c r="N519" s="1">
        <v>0</v>
      </c>
      <c r="O519" s="1">
        <v>0</v>
      </c>
      <c r="P519" s="1">
        <v>0</v>
      </c>
      <c r="Q519" s="1">
        <f t="shared" si="332"/>
        <v>0</v>
      </c>
      <c r="R519" s="1">
        <v>450</v>
      </c>
      <c r="S519" s="1">
        <f t="shared" si="333"/>
        <v>1687950</v>
      </c>
      <c r="T519" s="1">
        <v>0</v>
      </c>
      <c r="U519" s="1">
        <v>50000</v>
      </c>
      <c r="V519" s="1">
        <v>0</v>
      </c>
      <c r="W519" s="1">
        <v>50000</v>
      </c>
      <c r="X519" s="1">
        <v>0</v>
      </c>
      <c r="Y519" s="1">
        <v>0</v>
      </c>
      <c r="Z519" s="1">
        <v>0</v>
      </c>
      <c r="AA519" s="1">
        <v>0</v>
      </c>
      <c r="AB519" s="1">
        <v>0</v>
      </c>
      <c r="AC519" s="1">
        <v>0</v>
      </c>
      <c r="AD519" s="1">
        <v>0</v>
      </c>
    </row>
    <row r="520" spans="1:30" s="20" customFormat="1" ht="36" customHeight="1" x14ac:dyDescent="0.25">
      <c r="A520" s="2">
        <f t="shared" si="303"/>
        <v>492</v>
      </c>
      <c r="B520" s="6">
        <f t="shared" si="336"/>
        <v>492</v>
      </c>
      <c r="C520" s="30" t="s">
        <v>325</v>
      </c>
      <c r="D520" s="4">
        <f t="shared" si="337"/>
        <v>4455252.04</v>
      </c>
      <c r="E520" s="1">
        <f t="shared" si="331"/>
        <v>2667302.04</v>
      </c>
      <c r="F520" s="1">
        <f>804*795.26</f>
        <v>639389.04</v>
      </c>
      <c r="G520" s="1">
        <f>1693*795.26</f>
        <v>1346375.18</v>
      </c>
      <c r="H520" s="1">
        <f>390*795.26</f>
        <v>310151.40000000002</v>
      </c>
      <c r="I520" s="1">
        <v>0</v>
      </c>
      <c r="J520" s="1">
        <f>467*795.26</f>
        <v>371386.42</v>
      </c>
      <c r="K520" s="1">
        <v>0</v>
      </c>
      <c r="L520" s="2">
        <v>0</v>
      </c>
      <c r="M520" s="1">
        <f t="shared" si="334"/>
        <v>0</v>
      </c>
      <c r="N520" s="1">
        <v>0</v>
      </c>
      <c r="O520" s="1">
        <v>0</v>
      </c>
      <c r="P520" s="1">
        <v>0</v>
      </c>
      <c r="Q520" s="1">
        <f t="shared" si="332"/>
        <v>0</v>
      </c>
      <c r="R520" s="1">
        <v>450</v>
      </c>
      <c r="S520" s="1">
        <f t="shared" si="333"/>
        <v>1687950</v>
      </c>
      <c r="T520" s="1">
        <v>0</v>
      </c>
      <c r="U520" s="1">
        <v>50000</v>
      </c>
      <c r="V520" s="1">
        <v>0</v>
      </c>
      <c r="W520" s="1">
        <v>50000</v>
      </c>
      <c r="X520" s="1">
        <v>0</v>
      </c>
      <c r="Y520" s="1">
        <v>0</v>
      </c>
      <c r="Z520" s="1">
        <v>0</v>
      </c>
      <c r="AA520" s="1">
        <v>0</v>
      </c>
      <c r="AB520" s="1">
        <v>0</v>
      </c>
      <c r="AC520" s="1">
        <v>0</v>
      </c>
      <c r="AD520" s="1">
        <v>0</v>
      </c>
    </row>
    <row r="521" spans="1:30" s="20" customFormat="1" ht="36" customHeight="1" x14ac:dyDescent="0.25">
      <c r="A521" s="2">
        <f t="shared" si="303"/>
        <v>493</v>
      </c>
      <c r="B521" s="6">
        <f t="shared" si="336"/>
        <v>493</v>
      </c>
      <c r="C521" s="19" t="s">
        <v>326</v>
      </c>
      <c r="D521" s="4">
        <f t="shared" si="337"/>
        <v>4532830.0600000005</v>
      </c>
      <c r="E521" s="1">
        <f t="shared" si="331"/>
        <v>2744880.06</v>
      </c>
      <c r="F521" s="1">
        <f>804*818.39</f>
        <v>657985.55999999994</v>
      </c>
      <c r="G521" s="1">
        <f>1693*818.39</f>
        <v>1385534.27</v>
      </c>
      <c r="H521" s="1">
        <f>390*818.39</f>
        <v>319172.09999999998</v>
      </c>
      <c r="I521" s="1">
        <v>0</v>
      </c>
      <c r="J521" s="1">
        <f>467*818.39</f>
        <v>382188.13</v>
      </c>
      <c r="K521" s="1">
        <v>0</v>
      </c>
      <c r="L521" s="2">
        <v>0</v>
      </c>
      <c r="M521" s="1">
        <f t="shared" si="334"/>
        <v>0</v>
      </c>
      <c r="N521" s="1">
        <v>0</v>
      </c>
      <c r="O521" s="1">
        <v>0</v>
      </c>
      <c r="P521" s="1">
        <v>0</v>
      </c>
      <c r="Q521" s="1">
        <f t="shared" si="332"/>
        <v>0</v>
      </c>
      <c r="R521" s="1">
        <v>450</v>
      </c>
      <c r="S521" s="1">
        <f t="shared" si="333"/>
        <v>1687950</v>
      </c>
      <c r="T521" s="1">
        <v>0</v>
      </c>
      <c r="U521" s="1">
        <v>50000</v>
      </c>
      <c r="V521" s="1">
        <v>0</v>
      </c>
      <c r="W521" s="1">
        <v>50000</v>
      </c>
      <c r="X521" s="1">
        <v>0</v>
      </c>
      <c r="Y521" s="1">
        <v>0</v>
      </c>
      <c r="Z521" s="1">
        <v>0</v>
      </c>
      <c r="AA521" s="1">
        <v>0</v>
      </c>
      <c r="AB521" s="1">
        <v>0</v>
      </c>
      <c r="AC521" s="1">
        <v>0</v>
      </c>
      <c r="AD521" s="1">
        <v>0</v>
      </c>
    </row>
    <row r="522" spans="1:30" s="20" customFormat="1" ht="36" customHeight="1" x14ac:dyDescent="0.25">
      <c r="A522" s="2">
        <f t="shared" si="303"/>
        <v>494</v>
      </c>
      <c r="B522" s="6">
        <f>A522</f>
        <v>494</v>
      </c>
      <c r="C522" s="19" t="s">
        <v>2272</v>
      </c>
      <c r="D522" s="4">
        <f t="shared" si="337"/>
        <v>7200000</v>
      </c>
      <c r="E522" s="1">
        <f>SUM(F522:K522)</f>
        <v>0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0</v>
      </c>
      <c r="L522" s="2">
        <v>2</v>
      </c>
      <c r="M522" s="1">
        <f t="shared" si="334"/>
        <v>7000000</v>
      </c>
      <c r="N522" s="1">
        <v>0</v>
      </c>
      <c r="O522" s="1">
        <v>0</v>
      </c>
      <c r="P522" s="1">
        <v>0</v>
      </c>
      <c r="Q522" s="1">
        <f>P522*1400</f>
        <v>0</v>
      </c>
      <c r="R522" s="1">
        <v>0</v>
      </c>
      <c r="S522" s="1">
        <f>R522*3751</f>
        <v>0</v>
      </c>
      <c r="T522" s="1">
        <v>0</v>
      </c>
      <c r="U522" s="1">
        <v>200000</v>
      </c>
      <c r="V522" s="1">
        <v>0</v>
      </c>
      <c r="W522" s="1">
        <v>0</v>
      </c>
      <c r="X522" s="1">
        <v>0</v>
      </c>
      <c r="Y522" s="1">
        <v>0</v>
      </c>
      <c r="Z522" s="1">
        <v>0</v>
      </c>
      <c r="AA522" s="1">
        <v>0</v>
      </c>
      <c r="AB522" s="1">
        <v>0</v>
      </c>
      <c r="AC522" s="1">
        <v>0</v>
      </c>
      <c r="AD522" s="1">
        <v>0</v>
      </c>
    </row>
    <row r="523" spans="1:30" s="20" customFormat="1" ht="36" customHeight="1" x14ac:dyDescent="0.25">
      <c r="A523" s="2">
        <f t="shared" si="303"/>
        <v>495</v>
      </c>
      <c r="B523" s="6">
        <f>A523</f>
        <v>495</v>
      </c>
      <c r="C523" s="19" t="s">
        <v>2273</v>
      </c>
      <c r="D523" s="4">
        <f t="shared" si="337"/>
        <v>28200000</v>
      </c>
      <c r="E523" s="1">
        <f>SUM(F523:K523)</f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2">
        <v>8</v>
      </c>
      <c r="M523" s="1">
        <f t="shared" ref="M523" si="338">L523*3500000</f>
        <v>28000000</v>
      </c>
      <c r="N523" s="1">
        <v>0</v>
      </c>
      <c r="O523" s="1">
        <v>0</v>
      </c>
      <c r="P523" s="1">
        <v>0</v>
      </c>
      <c r="Q523" s="1">
        <f>P523*1400</f>
        <v>0</v>
      </c>
      <c r="R523" s="1">
        <v>0</v>
      </c>
      <c r="S523" s="1">
        <f>R523*3751</f>
        <v>0</v>
      </c>
      <c r="T523" s="1">
        <v>0</v>
      </c>
      <c r="U523" s="1">
        <v>200000</v>
      </c>
      <c r="V523" s="1">
        <v>0</v>
      </c>
      <c r="W523" s="1">
        <v>0</v>
      </c>
      <c r="X523" s="1">
        <v>0</v>
      </c>
      <c r="Y523" s="1">
        <v>0</v>
      </c>
      <c r="Z523" s="1">
        <v>0</v>
      </c>
      <c r="AA523" s="1">
        <v>0</v>
      </c>
      <c r="AB523" s="1">
        <v>0</v>
      </c>
      <c r="AC523" s="1">
        <v>0</v>
      </c>
      <c r="AD523" s="1">
        <v>0</v>
      </c>
    </row>
    <row r="524" spans="1:30" s="20" customFormat="1" ht="36" customHeight="1" x14ac:dyDescent="0.25">
      <c r="A524" s="2">
        <f t="shared" si="303"/>
        <v>496</v>
      </c>
      <c r="B524" s="6">
        <f t="shared" si="336"/>
        <v>496</v>
      </c>
      <c r="C524" s="19" t="s">
        <v>1751</v>
      </c>
      <c r="D524" s="4">
        <f t="shared" si="337"/>
        <v>3700000</v>
      </c>
      <c r="E524" s="1">
        <f t="shared" si="331"/>
        <v>0</v>
      </c>
      <c r="F524" s="1">
        <v>0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2">
        <v>1</v>
      </c>
      <c r="M524" s="1">
        <f t="shared" si="334"/>
        <v>3500000</v>
      </c>
      <c r="N524" s="1">
        <v>0</v>
      </c>
      <c r="O524" s="1">
        <v>0</v>
      </c>
      <c r="P524" s="1">
        <v>0</v>
      </c>
      <c r="Q524" s="1">
        <f t="shared" si="332"/>
        <v>0</v>
      </c>
      <c r="R524" s="1">
        <v>0</v>
      </c>
      <c r="S524" s="1">
        <f t="shared" si="333"/>
        <v>0</v>
      </c>
      <c r="T524" s="1">
        <v>0</v>
      </c>
      <c r="U524" s="1">
        <v>200000</v>
      </c>
      <c r="V524" s="1">
        <v>0</v>
      </c>
      <c r="W524" s="1">
        <v>0</v>
      </c>
      <c r="X524" s="1">
        <v>0</v>
      </c>
      <c r="Y524" s="1">
        <v>0</v>
      </c>
      <c r="Z524" s="1">
        <v>0</v>
      </c>
      <c r="AA524" s="1">
        <v>0</v>
      </c>
      <c r="AB524" s="1">
        <v>0</v>
      </c>
      <c r="AC524" s="1">
        <v>0</v>
      </c>
      <c r="AD524" s="1">
        <v>0</v>
      </c>
    </row>
    <row r="525" spans="1:30" s="20" customFormat="1" ht="36" customHeight="1" x14ac:dyDescent="0.25">
      <c r="A525" s="2">
        <f t="shared" si="303"/>
        <v>497</v>
      </c>
      <c r="B525" s="6">
        <f t="shared" si="336"/>
        <v>497</v>
      </c>
      <c r="C525" s="19" t="s">
        <v>328</v>
      </c>
      <c r="D525" s="4">
        <f t="shared" si="337"/>
        <v>6272760</v>
      </c>
      <c r="E525" s="1">
        <f t="shared" si="331"/>
        <v>4334770</v>
      </c>
      <c r="F525" s="1">
        <f>804*1104.4</f>
        <v>887937.60000000009</v>
      </c>
      <c r="G525" s="1">
        <f>1693*1104.4</f>
        <v>1869749.2000000002</v>
      </c>
      <c r="H525" s="1">
        <f>390*1104.4</f>
        <v>430716.00000000006</v>
      </c>
      <c r="I525" s="1">
        <f>571*1104.4</f>
        <v>630612.4</v>
      </c>
      <c r="J525" s="1">
        <f>467*1104.4</f>
        <v>515754.80000000005</v>
      </c>
      <c r="K525" s="1">
        <v>0</v>
      </c>
      <c r="L525" s="2">
        <v>0</v>
      </c>
      <c r="M525" s="1">
        <f t="shared" si="334"/>
        <v>0</v>
      </c>
      <c r="N525" s="1">
        <v>0</v>
      </c>
      <c r="O525" s="1">
        <v>0</v>
      </c>
      <c r="P525" s="1">
        <v>0</v>
      </c>
      <c r="Q525" s="1">
        <f t="shared" si="332"/>
        <v>0</v>
      </c>
      <c r="R525" s="1">
        <v>490</v>
      </c>
      <c r="S525" s="1">
        <f t="shared" si="333"/>
        <v>1837990</v>
      </c>
      <c r="T525" s="1">
        <v>0</v>
      </c>
      <c r="U525" s="1">
        <v>50000</v>
      </c>
      <c r="V525" s="1">
        <v>0</v>
      </c>
      <c r="W525" s="1">
        <v>50000</v>
      </c>
      <c r="X525" s="1">
        <v>0</v>
      </c>
      <c r="Y525" s="1">
        <v>0</v>
      </c>
      <c r="Z525" s="1">
        <v>0</v>
      </c>
      <c r="AA525" s="1">
        <v>0</v>
      </c>
      <c r="AB525" s="1">
        <v>0</v>
      </c>
      <c r="AC525" s="1">
        <v>0</v>
      </c>
      <c r="AD525" s="1">
        <v>0</v>
      </c>
    </row>
    <row r="526" spans="1:30" s="20" customFormat="1" ht="36" customHeight="1" x14ac:dyDescent="0.25">
      <c r="A526" s="2">
        <f t="shared" si="303"/>
        <v>498</v>
      </c>
      <c r="B526" s="6">
        <f t="shared" si="336"/>
        <v>498</v>
      </c>
      <c r="C526" s="19" t="s">
        <v>329</v>
      </c>
      <c r="D526" s="4">
        <f t="shared" si="337"/>
        <v>8522073</v>
      </c>
      <c r="E526" s="1">
        <f t="shared" si="331"/>
        <v>6171513</v>
      </c>
      <c r="F526" s="1">
        <f>804*1572.36</f>
        <v>1264177.44</v>
      </c>
      <c r="G526" s="1">
        <f>1693*1572.36</f>
        <v>2662005.48</v>
      </c>
      <c r="H526" s="1">
        <f>390*1572.36</f>
        <v>613220.39999999991</v>
      </c>
      <c r="I526" s="1">
        <f>571*1572.36</f>
        <v>897817.55999999994</v>
      </c>
      <c r="J526" s="1">
        <f>467*1572.36</f>
        <v>734292.12</v>
      </c>
      <c r="K526" s="1">
        <v>0</v>
      </c>
      <c r="L526" s="2">
        <v>0</v>
      </c>
      <c r="M526" s="1">
        <f t="shared" si="334"/>
        <v>0</v>
      </c>
      <c r="N526" s="1">
        <v>0</v>
      </c>
      <c r="O526" s="1">
        <v>0</v>
      </c>
      <c r="P526" s="1">
        <v>0</v>
      </c>
      <c r="Q526" s="1">
        <f t="shared" si="332"/>
        <v>0</v>
      </c>
      <c r="R526" s="1">
        <v>560</v>
      </c>
      <c r="S526" s="1">
        <f t="shared" si="333"/>
        <v>2100560</v>
      </c>
      <c r="T526" s="1">
        <v>150000</v>
      </c>
      <c r="U526" s="1">
        <v>50000</v>
      </c>
      <c r="V526" s="1">
        <v>0</v>
      </c>
      <c r="W526" s="1">
        <v>50000</v>
      </c>
      <c r="X526" s="1">
        <v>0</v>
      </c>
      <c r="Y526" s="1">
        <v>0</v>
      </c>
      <c r="Z526" s="1">
        <v>0</v>
      </c>
      <c r="AA526" s="1">
        <v>0</v>
      </c>
      <c r="AB526" s="1">
        <v>0</v>
      </c>
      <c r="AC526" s="1">
        <v>0</v>
      </c>
      <c r="AD526" s="1">
        <v>0</v>
      </c>
    </row>
    <row r="527" spans="1:30" s="20" customFormat="1" ht="36" customHeight="1" x14ac:dyDescent="0.25">
      <c r="A527" s="2">
        <f t="shared" si="303"/>
        <v>499</v>
      </c>
      <c r="B527" s="2">
        <f t="shared" si="336"/>
        <v>499</v>
      </c>
      <c r="C527" s="19" t="s">
        <v>330</v>
      </c>
      <c r="D527" s="39">
        <f t="shared" si="337"/>
        <v>6978842</v>
      </c>
      <c r="E527" s="1">
        <f t="shared" si="331"/>
        <v>4740772</v>
      </c>
      <c r="F527" s="1">
        <f>804*1207.84</f>
        <v>971103.36</v>
      </c>
      <c r="G527" s="1">
        <f>1693*1207.84</f>
        <v>2044873.1199999999</v>
      </c>
      <c r="H527" s="1">
        <f>390*1207.84</f>
        <v>471057.6</v>
      </c>
      <c r="I527" s="1">
        <f>571*1207.84</f>
        <v>689676.6399999999</v>
      </c>
      <c r="J527" s="1">
        <f>467*1207.84</f>
        <v>564061.27999999991</v>
      </c>
      <c r="K527" s="1">
        <v>0</v>
      </c>
      <c r="L527" s="2">
        <v>0</v>
      </c>
      <c r="M527" s="1">
        <f t="shared" si="334"/>
        <v>0</v>
      </c>
      <c r="N527" s="1">
        <v>0</v>
      </c>
      <c r="O527" s="1">
        <v>0</v>
      </c>
      <c r="P527" s="1">
        <v>0</v>
      </c>
      <c r="Q527" s="1">
        <f t="shared" si="332"/>
        <v>0</v>
      </c>
      <c r="R527" s="1">
        <v>570</v>
      </c>
      <c r="S527" s="1">
        <f t="shared" si="333"/>
        <v>2138070</v>
      </c>
      <c r="T527" s="1">
        <v>0</v>
      </c>
      <c r="U527" s="1">
        <v>50000</v>
      </c>
      <c r="V527" s="1">
        <v>0</v>
      </c>
      <c r="W527" s="1">
        <v>50000</v>
      </c>
      <c r="X527" s="1">
        <v>0</v>
      </c>
      <c r="Y527" s="1">
        <v>0</v>
      </c>
      <c r="Z527" s="1">
        <v>0</v>
      </c>
      <c r="AA527" s="1">
        <v>0</v>
      </c>
      <c r="AB527" s="1">
        <v>0</v>
      </c>
      <c r="AC527" s="1">
        <v>0</v>
      </c>
      <c r="AD527" s="1">
        <v>0</v>
      </c>
    </row>
    <row r="528" spans="1:30" s="20" customFormat="1" ht="36" customHeight="1" x14ac:dyDescent="0.25">
      <c r="A528" s="2">
        <f t="shared" si="303"/>
        <v>500</v>
      </c>
      <c r="B528" s="2">
        <f t="shared" si="336"/>
        <v>500</v>
      </c>
      <c r="C528" s="19" t="s">
        <v>331</v>
      </c>
      <c r="D528" s="39">
        <f t="shared" si="337"/>
        <v>6871257.75</v>
      </c>
      <c r="E528" s="1">
        <f t="shared" si="331"/>
        <v>4633187.75</v>
      </c>
      <c r="F528" s="1">
        <f>804*1180.43</f>
        <v>949065.72000000009</v>
      </c>
      <c r="G528" s="1">
        <f>1693*1180.43</f>
        <v>1998467.9900000002</v>
      </c>
      <c r="H528" s="1">
        <f>390*1180.43</f>
        <v>460367.7</v>
      </c>
      <c r="I528" s="1">
        <f>571*1180.43</f>
        <v>674025.53</v>
      </c>
      <c r="J528" s="1">
        <f>467*1180.43</f>
        <v>551260.81000000006</v>
      </c>
      <c r="K528" s="1">
        <v>0</v>
      </c>
      <c r="L528" s="2">
        <v>0</v>
      </c>
      <c r="M528" s="1">
        <f t="shared" si="334"/>
        <v>0</v>
      </c>
      <c r="N528" s="1">
        <v>0</v>
      </c>
      <c r="O528" s="1">
        <v>0</v>
      </c>
      <c r="P528" s="1">
        <v>0</v>
      </c>
      <c r="Q528" s="1">
        <f t="shared" si="332"/>
        <v>0</v>
      </c>
      <c r="R528" s="1">
        <v>570</v>
      </c>
      <c r="S528" s="1">
        <f t="shared" si="333"/>
        <v>2138070</v>
      </c>
      <c r="T528" s="1">
        <v>0</v>
      </c>
      <c r="U528" s="1">
        <v>50000</v>
      </c>
      <c r="V528" s="1">
        <v>0</v>
      </c>
      <c r="W528" s="1">
        <v>50000</v>
      </c>
      <c r="X528" s="1">
        <v>0</v>
      </c>
      <c r="Y528" s="1">
        <v>0</v>
      </c>
      <c r="Z528" s="1">
        <v>0</v>
      </c>
      <c r="AA528" s="1">
        <v>0</v>
      </c>
      <c r="AB528" s="1">
        <v>0</v>
      </c>
      <c r="AC528" s="1">
        <v>0</v>
      </c>
      <c r="AD528" s="1">
        <v>0</v>
      </c>
    </row>
    <row r="529" spans="1:30" s="20" customFormat="1" ht="36" customHeight="1" x14ac:dyDescent="0.25">
      <c r="A529" s="2">
        <f t="shared" si="303"/>
        <v>501</v>
      </c>
      <c r="B529" s="6">
        <f t="shared" si="336"/>
        <v>501</v>
      </c>
      <c r="C529" s="19" t="s">
        <v>332</v>
      </c>
      <c r="D529" s="4">
        <f t="shared" si="337"/>
        <v>10498593.25</v>
      </c>
      <c r="E529" s="1">
        <f t="shared" si="331"/>
        <v>4154573.2500000005</v>
      </c>
      <c r="F529" s="1">
        <f>804*1058.49</f>
        <v>851025.96</v>
      </c>
      <c r="G529" s="1">
        <f>1693*1058.49</f>
        <v>1792023.57</v>
      </c>
      <c r="H529" s="1">
        <f>390*1058.49</f>
        <v>412811.1</v>
      </c>
      <c r="I529" s="1">
        <f>571*1058.49</f>
        <v>604397.79</v>
      </c>
      <c r="J529" s="1">
        <f>467*1058.49</f>
        <v>494314.83</v>
      </c>
      <c r="K529" s="1">
        <v>0</v>
      </c>
      <c r="L529" s="2">
        <v>0</v>
      </c>
      <c r="M529" s="1">
        <f t="shared" si="334"/>
        <v>0</v>
      </c>
      <c r="N529" s="1">
        <v>554</v>
      </c>
      <c r="O529" s="1">
        <f>N529*7750</f>
        <v>4293500</v>
      </c>
      <c r="P529" s="1">
        <v>0</v>
      </c>
      <c r="Q529" s="1">
        <f t="shared" si="332"/>
        <v>0</v>
      </c>
      <c r="R529" s="1">
        <v>520</v>
      </c>
      <c r="S529" s="1">
        <f t="shared" si="333"/>
        <v>1950520</v>
      </c>
      <c r="T529" s="1">
        <v>0</v>
      </c>
      <c r="U529" s="1">
        <v>50000</v>
      </c>
      <c r="V529" s="1">
        <v>0</v>
      </c>
      <c r="W529" s="1">
        <v>50000</v>
      </c>
      <c r="X529" s="1">
        <v>0</v>
      </c>
      <c r="Y529" s="1">
        <v>0</v>
      </c>
      <c r="Z529" s="1">
        <v>0</v>
      </c>
      <c r="AA529" s="1">
        <v>0</v>
      </c>
      <c r="AB529" s="1">
        <v>0</v>
      </c>
      <c r="AC529" s="1">
        <v>0</v>
      </c>
      <c r="AD529" s="1">
        <v>0</v>
      </c>
    </row>
    <row r="530" spans="1:30" s="20" customFormat="1" ht="36" customHeight="1" x14ac:dyDescent="0.25">
      <c r="A530" s="2">
        <f t="shared" si="303"/>
        <v>502</v>
      </c>
      <c r="B530" s="6">
        <f>A530</f>
        <v>502</v>
      </c>
      <c r="C530" s="19" t="s">
        <v>327</v>
      </c>
      <c r="D530" s="4">
        <f t="shared" si="337"/>
        <v>7651102.5</v>
      </c>
      <c r="E530" s="1">
        <f>SUM(F530:K530)</f>
        <v>5600582.5</v>
      </c>
      <c r="F530" s="1">
        <f>804*1426.9</f>
        <v>1147227.6000000001</v>
      </c>
      <c r="G530" s="1">
        <f>1693*1426.9</f>
        <v>2415741.7000000002</v>
      </c>
      <c r="H530" s="1">
        <f>390*1426.9</f>
        <v>556491</v>
      </c>
      <c r="I530" s="1">
        <f>571*1426.9</f>
        <v>814759.9</v>
      </c>
      <c r="J530" s="1">
        <f>467*1426.9</f>
        <v>666362.30000000005</v>
      </c>
      <c r="K530" s="1">
        <v>0</v>
      </c>
      <c r="L530" s="2">
        <v>0</v>
      </c>
      <c r="M530" s="1">
        <f>L530*3500000</f>
        <v>0</v>
      </c>
      <c r="N530" s="1">
        <v>0</v>
      </c>
      <c r="O530" s="1">
        <v>0</v>
      </c>
      <c r="P530" s="1">
        <v>0</v>
      </c>
      <c r="Q530" s="1">
        <f>P530*1400</f>
        <v>0</v>
      </c>
      <c r="R530" s="1">
        <v>520</v>
      </c>
      <c r="S530" s="1">
        <f>R530*3751</f>
        <v>1950520</v>
      </c>
      <c r="T530" s="1">
        <v>0</v>
      </c>
      <c r="U530" s="1">
        <v>50000</v>
      </c>
      <c r="V530" s="1">
        <v>0</v>
      </c>
      <c r="W530" s="1">
        <v>50000</v>
      </c>
      <c r="X530" s="1">
        <v>0</v>
      </c>
      <c r="Y530" s="1">
        <v>0</v>
      </c>
      <c r="Z530" s="1">
        <v>0</v>
      </c>
      <c r="AA530" s="1">
        <v>0</v>
      </c>
      <c r="AB530" s="1">
        <v>0</v>
      </c>
      <c r="AC530" s="1">
        <v>0</v>
      </c>
      <c r="AD530" s="1">
        <v>0</v>
      </c>
    </row>
    <row r="531" spans="1:30" s="20" customFormat="1" ht="36" customHeight="1" x14ac:dyDescent="0.25">
      <c r="A531" s="2">
        <f t="shared" ref="A531:A607" si="339">ROW()-ROW($A$11)-17</f>
        <v>503</v>
      </c>
      <c r="B531" s="6">
        <f>A531</f>
        <v>503</v>
      </c>
      <c r="C531" s="19" t="s">
        <v>874</v>
      </c>
      <c r="D531" s="4">
        <f t="shared" si="337"/>
        <v>8618000</v>
      </c>
      <c r="E531" s="1">
        <f>SUM(F531:K531)</f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2">
        <v>0</v>
      </c>
      <c r="M531" s="1">
        <v>0</v>
      </c>
      <c r="N531" s="1">
        <v>1112</v>
      </c>
      <c r="O531" s="1">
        <f>N531*7750</f>
        <v>8618000</v>
      </c>
      <c r="P531" s="1">
        <v>0</v>
      </c>
      <c r="Q531" s="1">
        <f>P531*1400</f>
        <v>0</v>
      </c>
      <c r="R531" s="1">
        <v>0</v>
      </c>
      <c r="S531" s="1">
        <f>R531*3751</f>
        <v>0</v>
      </c>
      <c r="T531" s="1">
        <v>0</v>
      </c>
      <c r="U531" s="1">
        <v>0</v>
      </c>
      <c r="V531" s="1">
        <v>0</v>
      </c>
      <c r="W531" s="1">
        <v>0</v>
      </c>
      <c r="X531" s="1">
        <v>0</v>
      </c>
      <c r="Y531" s="1">
        <v>0</v>
      </c>
      <c r="Z531" s="1">
        <v>0</v>
      </c>
      <c r="AA531" s="1">
        <v>0</v>
      </c>
      <c r="AB531" s="1">
        <v>0</v>
      </c>
      <c r="AC531" s="1">
        <v>0</v>
      </c>
      <c r="AD531" s="1">
        <v>0</v>
      </c>
    </row>
    <row r="532" spans="1:30" s="20" customFormat="1" ht="36" customHeight="1" x14ac:dyDescent="0.25">
      <c r="A532" s="2">
        <f t="shared" si="339"/>
        <v>504</v>
      </c>
      <c r="B532" s="6">
        <f>A532</f>
        <v>504</v>
      </c>
      <c r="C532" s="19" t="s">
        <v>340</v>
      </c>
      <c r="D532" s="4">
        <f t="shared" si="337"/>
        <v>5017440</v>
      </c>
      <c r="E532" s="1">
        <f>SUM(F532:K532)</f>
        <v>3229489.9999999995</v>
      </c>
      <c r="F532" s="1">
        <f>804*822.8</f>
        <v>661531.19999999995</v>
      </c>
      <c r="G532" s="1">
        <f>1693*822.8</f>
        <v>1393000.4</v>
      </c>
      <c r="H532" s="1">
        <f>390*822.8</f>
        <v>320892</v>
      </c>
      <c r="I532" s="1">
        <f>571*822.8</f>
        <v>469818.8</v>
      </c>
      <c r="J532" s="1">
        <f>467*822.8</f>
        <v>384247.6</v>
      </c>
      <c r="K532" s="1">
        <v>0</v>
      </c>
      <c r="L532" s="2">
        <v>0</v>
      </c>
      <c r="M532" s="1">
        <f>L532*3500000</f>
        <v>0</v>
      </c>
      <c r="N532" s="1">
        <v>0</v>
      </c>
      <c r="O532" s="1">
        <v>0</v>
      </c>
      <c r="P532" s="1">
        <v>0</v>
      </c>
      <c r="Q532" s="1">
        <f>P532*1400</f>
        <v>0</v>
      </c>
      <c r="R532" s="1">
        <v>450</v>
      </c>
      <c r="S532" s="1">
        <f>R532*3751</f>
        <v>1687950</v>
      </c>
      <c r="T532" s="1">
        <v>0</v>
      </c>
      <c r="U532" s="1">
        <v>50000</v>
      </c>
      <c r="V532" s="1">
        <v>0</v>
      </c>
      <c r="W532" s="1">
        <v>50000</v>
      </c>
      <c r="X532" s="1">
        <v>0</v>
      </c>
      <c r="Y532" s="1">
        <v>0</v>
      </c>
      <c r="Z532" s="1">
        <v>0</v>
      </c>
      <c r="AA532" s="1">
        <v>0</v>
      </c>
      <c r="AB532" s="1">
        <v>0</v>
      </c>
      <c r="AC532" s="1">
        <v>0</v>
      </c>
      <c r="AD532" s="1">
        <v>0</v>
      </c>
    </row>
    <row r="533" spans="1:30" s="20" customFormat="1" ht="36" customHeight="1" x14ac:dyDescent="0.25">
      <c r="A533" s="2">
        <f t="shared" si="339"/>
        <v>505</v>
      </c>
      <c r="B533" s="6">
        <f>A533</f>
        <v>505</v>
      </c>
      <c r="C533" s="19" t="s">
        <v>341</v>
      </c>
      <c r="D533" s="4">
        <f t="shared" si="337"/>
        <v>5017440</v>
      </c>
      <c r="E533" s="1">
        <f>SUM(F533:K533)</f>
        <v>3229489.9999999995</v>
      </c>
      <c r="F533" s="1">
        <f>804*822.8</f>
        <v>661531.19999999995</v>
      </c>
      <c r="G533" s="1">
        <f>1693*822.8</f>
        <v>1393000.4</v>
      </c>
      <c r="H533" s="1">
        <f>390*822.8</f>
        <v>320892</v>
      </c>
      <c r="I533" s="1">
        <f>571*822.8</f>
        <v>469818.8</v>
      </c>
      <c r="J533" s="1">
        <f>467*822.8</f>
        <v>384247.6</v>
      </c>
      <c r="K533" s="1">
        <v>0</v>
      </c>
      <c r="L533" s="2">
        <v>0</v>
      </c>
      <c r="M533" s="1">
        <f>L533*3500000</f>
        <v>0</v>
      </c>
      <c r="N533" s="1">
        <v>0</v>
      </c>
      <c r="O533" s="1">
        <v>0</v>
      </c>
      <c r="P533" s="1">
        <v>0</v>
      </c>
      <c r="Q533" s="1">
        <f>P533*1400</f>
        <v>0</v>
      </c>
      <c r="R533" s="1">
        <v>450</v>
      </c>
      <c r="S533" s="1">
        <f>R533*3751</f>
        <v>1687950</v>
      </c>
      <c r="T533" s="1">
        <v>0</v>
      </c>
      <c r="U533" s="1">
        <v>50000</v>
      </c>
      <c r="V533" s="1">
        <v>0</v>
      </c>
      <c r="W533" s="1">
        <v>50000</v>
      </c>
      <c r="X533" s="1">
        <v>0</v>
      </c>
      <c r="Y533" s="1">
        <v>0</v>
      </c>
      <c r="Z533" s="1">
        <v>0</v>
      </c>
      <c r="AA533" s="1">
        <v>0</v>
      </c>
      <c r="AB533" s="1">
        <v>0</v>
      </c>
      <c r="AC533" s="1">
        <v>0</v>
      </c>
      <c r="AD533" s="1">
        <v>0</v>
      </c>
    </row>
    <row r="534" spans="1:30" s="20" customFormat="1" ht="36" customHeight="1" x14ac:dyDescent="0.25">
      <c r="A534" s="2">
        <f t="shared" si="339"/>
        <v>506</v>
      </c>
      <c r="B534" s="6">
        <f>A534</f>
        <v>506</v>
      </c>
      <c r="C534" s="19" t="s">
        <v>342</v>
      </c>
      <c r="D534" s="4">
        <f t="shared" si="337"/>
        <v>5347873.7</v>
      </c>
      <c r="E534" s="1">
        <f>SUM(F534:K534)</f>
        <v>3330362.5</v>
      </c>
      <c r="F534" s="1">
        <f>804*848.5</f>
        <v>682194</v>
      </c>
      <c r="G534" s="1">
        <f>1693*848.5</f>
        <v>1436510.5</v>
      </c>
      <c r="H534" s="1">
        <f>390*848.5</f>
        <v>330915</v>
      </c>
      <c r="I534" s="1">
        <f>571*848.5</f>
        <v>484493.5</v>
      </c>
      <c r="J534" s="1">
        <f>467*848.5</f>
        <v>396249.5</v>
      </c>
      <c r="K534" s="1">
        <v>0</v>
      </c>
      <c r="L534" s="2">
        <v>0</v>
      </c>
      <c r="M534" s="1">
        <f>L534*3500000</f>
        <v>0</v>
      </c>
      <c r="N534" s="1">
        <v>0</v>
      </c>
      <c r="O534" s="1">
        <v>0</v>
      </c>
      <c r="P534" s="1">
        <v>0</v>
      </c>
      <c r="Q534" s="1">
        <f>P534*1400</f>
        <v>0</v>
      </c>
      <c r="R534" s="1">
        <v>511.2</v>
      </c>
      <c r="S534" s="1">
        <f>R534*3751</f>
        <v>1917511.2</v>
      </c>
      <c r="T534" s="1">
        <v>0</v>
      </c>
      <c r="U534" s="1">
        <v>50000</v>
      </c>
      <c r="V534" s="1">
        <v>0</v>
      </c>
      <c r="W534" s="1">
        <v>50000</v>
      </c>
      <c r="X534" s="1">
        <v>0</v>
      </c>
      <c r="Y534" s="1">
        <v>0</v>
      </c>
      <c r="Z534" s="1">
        <v>0</v>
      </c>
      <c r="AA534" s="1">
        <v>0</v>
      </c>
      <c r="AB534" s="1">
        <v>0</v>
      </c>
      <c r="AC534" s="1">
        <v>0</v>
      </c>
      <c r="AD534" s="1">
        <v>0</v>
      </c>
    </row>
    <row r="535" spans="1:30" s="20" customFormat="1" ht="36" customHeight="1" x14ac:dyDescent="0.25">
      <c r="A535" s="2">
        <f t="shared" si="339"/>
        <v>507</v>
      </c>
      <c r="B535" s="6">
        <f t="shared" si="336"/>
        <v>507</v>
      </c>
      <c r="C535" s="19" t="s">
        <v>333</v>
      </c>
      <c r="D535" s="4">
        <f t="shared" si="337"/>
        <v>5045700</v>
      </c>
      <c r="E535" s="1">
        <f t="shared" si="331"/>
        <v>3257750</v>
      </c>
      <c r="F535" s="1">
        <f>804*830</f>
        <v>667320</v>
      </c>
      <c r="G535" s="1">
        <f>1693*830</f>
        <v>1405190</v>
      </c>
      <c r="H535" s="1">
        <f>390*830</f>
        <v>323700</v>
      </c>
      <c r="I535" s="1">
        <f>571*830</f>
        <v>473930</v>
      </c>
      <c r="J535" s="1">
        <f>467*830</f>
        <v>387610</v>
      </c>
      <c r="K535" s="1">
        <v>0</v>
      </c>
      <c r="L535" s="2">
        <v>0</v>
      </c>
      <c r="M535" s="1">
        <f t="shared" si="334"/>
        <v>0</v>
      </c>
      <c r="N535" s="1">
        <v>0</v>
      </c>
      <c r="O535" s="1">
        <v>0</v>
      </c>
      <c r="P535" s="1">
        <v>0</v>
      </c>
      <c r="Q535" s="1">
        <f t="shared" si="332"/>
        <v>0</v>
      </c>
      <c r="R535" s="1">
        <v>450</v>
      </c>
      <c r="S535" s="1">
        <f t="shared" si="333"/>
        <v>1687950</v>
      </c>
      <c r="T535" s="1">
        <v>0</v>
      </c>
      <c r="U535" s="1">
        <v>50000</v>
      </c>
      <c r="V535" s="1">
        <v>0</v>
      </c>
      <c r="W535" s="1">
        <v>50000</v>
      </c>
      <c r="X535" s="1">
        <v>0</v>
      </c>
      <c r="Y535" s="1">
        <v>0</v>
      </c>
      <c r="Z535" s="1">
        <v>0</v>
      </c>
      <c r="AA535" s="1">
        <v>0</v>
      </c>
      <c r="AB535" s="1">
        <v>0</v>
      </c>
      <c r="AC535" s="1">
        <v>0</v>
      </c>
      <c r="AD535" s="1">
        <v>0</v>
      </c>
    </row>
    <row r="536" spans="1:30" s="20" customFormat="1" ht="36" customHeight="1" x14ac:dyDescent="0.25">
      <c r="A536" s="2">
        <f t="shared" si="339"/>
        <v>508</v>
      </c>
      <c r="B536" s="6">
        <f t="shared" si="336"/>
        <v>508</v>
      </c>
      <c r="C536" s="19" t="s">
        <v>334</v>
      </c>
      <c r="D536" s="4">
        <f t="shared" si="337"/>
        <v>5024505</v>
      </c>
      <c r="E536" s="1">
        <f t="shared" si="331"/>
        <v>3236555.0000000005</v>
      </c>
      <c r="F536" s="1">
        <f>804*824.6</f>
        <v>662978.4</v>
      </c>
      <c r="G536" s="1">
        <f>1693*824.6</f>
        <v>1396047.8</v>
      </c>
      <c r="H536" s="1">
        <f>390*824.6</f>
        <v>321594</v>
      </c>
      <c r="I536" s="1">
        <f>571*824.6</f>
        <v>470846.60000000003</v>
      </c>
      <c r="J536" s="1">
        <f>467*824.6</f>
        <v>385088.2</v>
      </c>
      <c r="K536" s="1">
        <v>0</v>
      </c>
      <c r="L536" s="2">
        <v>0</v>
      </c>
      <c r="M536" s="1">
        <f t="shared" si="334"/>
        <v>0</v>
      </c>
      <c r="N536" s="1">
        <v>0</v>
      </c>
      <c r="O536" s="1">
        <v>0</v>
      </c>
      <c r="P536" s="1">
        <v>0</v>
      </c>
      <c r="Q536" s="1">
        <f t="shared" si="332"/>
        <v>0</v>
      </c>
      <c r="R536" s="1">
        <v>450</v>
      </c>
      <c r="S536" s="1">
        <f t="shared" si="333"/>
        <v>1687950</v>
      </c>
      <c r="T536" s="1">
        <v>0</v>
      </c>
      <c r="U536" s="1">
        <v>50000</v>
      </c>
      <c r="V536" s="1">
        <v>0</v>
      </c>
      <c r="W536" s="1">
        <v>50000</v>
      </c>
      <c r="X536" s="1">
        <v>0</v>
      </c>
      <c r="Y536" s="1">
        <v>0</v>
      </c>
      <c r="Z536" s="1">
        <v>0</v>
      </c>
      <c r="AA536" s="1">
        <v>0</v>
      </c>
      <c r="AB536" s="1">
        <v>0</v>
      </c>
      <c r="AC536" s="1">
        <v>0</v>
      </c>
      <c r="AD536" s="1">
        <v>0</v>
      </c>
    </row>
    <row r="537" spans="1:30" s="20" customFormat="1" ht="36" customHeight="1" x14ac:dyDescent="0.25">
      <c r="A537" s="2">
        <f t="shared" si="339"/>
        <v>509</v>
      </c>
      <c r="B537" s="6">
        <f t="shared" si="336"/>
        <v>509</v>
      </c>
      <c r="C537" s="19" t="s">
        <v>335</v>
      </c>
      <c r="D537" s="4">
        <f t="shared" si="337"/>
        <v>5018617.5</v>
      </c>
      <c r="E537" s="1">
        <f t="shared" si="331"/>
        <v>3230667.5000000005</v>
      </c>
      <c r="F537" s="1">
        <f>804*823.1</f>
        <v>661772.4</v>
      </c>
      <c r="G537" s="1">
        <f>1693*823.1</f>
        <v>1393508.3</v>
      </c>
      <c r="H537" s="1">
        <f>390*823.1</f>
        <v>321009</v>
      </c>
      <c r="I537" s="1">
        <f>571*823.1</f>
        <v>469990.10000000003</v>
      </c>
      <c r="J537" s="1">
        <f>467*823.1</f>
        <v>384387.7</v>
      </c>
      <c r="K537" s="1">
        <v>0</v>
      </c>
      <c r="L537" s="2">
        <v>0</v>
      </c>
      <c r="M537" s="1">
        <f t="shared" si="334"/>
        <v>0</v>
      </c>
      <c r="N537" s="1">
        <v>0</v>
      </c>
      <c r="O537" s="1">
        <v>0</v>
      </c>
      <c r="P537" s="1">
        <v>0</v>
      </c>
      <c r="Q537" s="1">
        <f t="shared" si="332"/>
        <v>0</v>
      </c>
      <c r="R537" s="1">
        <v>450</v>
      </c>
      <c r="S537" s="1">
        <f t="shared" si="333"/>
        <v>1687950</v>
      </c>
      <c r="T537" s="1">
        <v>0</v>
      </c>
      <c r="U537" s="1">
        <v>50000</v>
      </c>
      <c r="V537" s="1">
        <v>0</v>
      </c>
      <c r="W537" s="1">
        <v>50000</v>
      </c>
      <c r="X537" s="1">
        <v>0</v>
      </c>
      <c r="Y537" s="1">
        <v>0</v>
      </c>
      <c r="Z537" s="1">
        <v>0</v>
      </c>
      <c r="AA537" s="1">
        <v>0</v>
      </c>
      <c r="AB537" s="1">
        <v>0</v>
      </c>
      <c r="AC537" s="1">
        <v>0</v>
      </c>
      <c r="AD537" s="1">
        <v>0</v>
      </c>
    </row>
    <row r="538" spans="1:30" s="20" customFormat="1" ht="36" customHeight="1" x14ac:dyDescent="0.25">
      <c r="A538" s="2">
        <f t="shared" si="339"/>
        <v>510</v>
      </c>
      <c r="B538" s="6">
        <f t="shared" si="336"/>
        <v>510</v>
      </c>
      <c r="C538" s="19" t="s">
        <v>336</v>
      </c>
      <c r="D538" s="4">
        <f t="shared" si="337"/>
        <v>5093585</v>
      </c>
      <c r="E538" s="1">
        <f t="shared" si="331"/>
        <v>3305635.0000000005</v>
      </c>
      <c r="F538" s="1">
        <f>804*842.2</f>
        <v>677128.8</v>
      </c>
      <c r="G538" s="1">
        <f>1693*842.2</f>
        <v>1425844.6</v>
      </c>
      <c r="H538" s="1">
        <f>390*842.2</f>
        <v>328458</v>
      </c>
      <c r="I538" s="1">
        <f>571*842.2</f>
        <v>480896.2</v>
      </c>
      <c r="J538" s="1">
        <f>467*842.2</f>
        <v>393307.4</v>
      </c>
      <c r="K538" s="1">
        <v>0</v>
      </c>
      <c r="L538" s="2">
        <v>0</v>
      </c>
      <c r="M538" s="1">
        <f t="shared" si="334"/>
        <v>0</v>
      </c>
      <c r="N538" s="1">
        <v>0</v>
      </c>
      <c r="O538" s="1">
        <v>0</v>
      </c>
      <c r="P538" s="1">
        <v>0</v>
      </c>
      <c r="Q538" s="1">
        <f t="shared" si="332"/>
        <v>0</v>
      </c>
      <c r="R538" s="1">
        <v>450</v>
      </c>
      <c r="S538" s="1">
        <f t="shared" si="333"/>
        <v>1687950</v>
      </c>
      <c r="T538" s="1">
        <v>0</v>
      </c>
      <c r="U538" s="1">
        <v>50000</v>
      </c>
      <c r="V538" s="1">
        <v>0</v>
      </c>
      <c r="W538" s="1">
        <v>50000</v>
      </c>
      <c r="X538" s="1">
        <v>0</v>
      </c>
      <c r="Y538" s="1">
        <v>0</v>
      </c>
      <c r="Z538" s="1">
        <v>0</v>
      </c>
      <c r="AA538" s="1">
        <v>0</v>
      </c>
      <c r="AB538" s="1">
        <v>0</v>
      </c>
      <c r="AC538" s="1">
        <v>0</v>
      </c>
      <c r="AD538" s="1">
        <v>0</v>
      </c>
    </row>
    <row r="539" spans="1:30" s="20" customFormat="1" ht="36" customHeight="1" x14ac:dyDescent="0.25">
      <c r="A539" s="2">
        <f t="shared" si="339"/>
        <v>511</v>
      </c>
      <c r="B539" s="6">
        <f t="shared" si="336"/>
        <v>511</v>
      </c>
      <c r="C539" s="19" t="s">
        <v>337</v>
      </c>
      <c r="D539" s="4">
        <f t="shared" si="337"/>
        <v>3154385</v>
      </c>
      <c r="E539" s="1">
        <f>SUM(F539:K539)</f>
        <v>2004105.0000000002</v>
      </c>
      <c r="F539" s="1">
        <f>804*510.6</f>
        <v>410522.4</v>
      </c>
      <c r="G539" s="1">
        <f>1693*510.6</f>
        <v>864445.8</v>
      </c>
      <c r="H539" s="1">
        <f>390*510.6</f>
        <v>199134</v>
      </c>
      <c r="I539" s="1">
        <f>571*510.6</f>
        <v>291552.60000000003</v>
      </c>
      <c r="J539" s="1">
        <f>467*510.6</f>
        <v>238450.2</v>
      </c>
      <c r="K539" s="1">
        <v>0</v>
      </c>
      <c r="L539" s="2">
        <v>0</v>
      </c>
      <c r="M539" s="1">
        <f t="shared" si="334"/>
        <v>0</v>
      </c>
      <c r="N539" s="1">
        <v>0</v>
      </c>
      <c r="O539" s="1">
        <v>0</v>
      </c>
      <c r="P539" s="1">
        <v>0</v>
      </c>
      <c r="Q539" s="1">
        <f t="shared" si="332"/>
        <v>0</v>
      </c>
      <c r="R539" s="1">
        <v>280</v>
      </c>
      <c r="S539" s="1">
        <f t="shared" si="333"/>
        <v>1050280</v>
      </c>
      <c r="T539" s="1">
        <v>0</v>
      </c>
      <c r="U539" s="1">
        <v>50000</v>
      </c>
      <c r="V539" s="1">
        <v>0</v>
      </c>
      <c r="W539" s="1">
        <v>50000</v>
      </c>
      <c r="X539" s="1">
        <v>0</v>
      </c>
      <c r="Y539" s="1">
        <v>0</v>
      </c>
      <c r="Z539" s="1">
        <v>0</v>
      </c>
      <c r="AA539" s="1">
        <v>0</v>
      </c>
      <c r="AB539" s="1">
        <v>0</v>
      </c>
      <c r="AC539" s="1">
        <v>0</v>
      </c>
      <c r="AD539" s="1">
        <v>0</v>
      </c>
    </row>
    <row r="540" spans="1:30" s="20" customFormat="1" ht="36" customHeight="1" x14ac:dyDescent="0.25">
      <c r="A540" s="2">
        <f t="shared" si="339"/>
        <v>512</v>
      </c>
      <c r="B540" s="6">
        <f t="shared" si="336"/>
        <v>512</v>
      </c>
      <c r="C540" s="19" t="s">
        <v>338</v>
      </c>
      <c r="D540" s="4">
        <f t="shared" si="337"/>
        <v>3349849.9999999995</v>
      </c>
      <c r="E540" s="1">
        <f t="shared" si="331"/>
        <v>2199569.9999999995</v>
      </c>
      <c r="F540" s="1">
        <f>804*560.4</f>
        <v>450561.6</v>
      </c>
      <c r="G540" s="1">
        <f>1693*560.4</f>
        <v>948757.2</v>
      </c>
      <c r="H540" s="1">
        <f>390*560.4</f>
        <v>218556</v>
      </c>
      <c r="I540" s="1">
        <f>571*560.4</f>
        <v>319988.39999999997</v>
      </c>
      <c r="J540" s="1">
        <f>467*560.4</f>
        <v>261706.8</v>
      </c>
      <c r="K540" s="1">
        <v>0</v>
      </c>
      <c r="L540" s="2">
        <v>0</v>
      </c>
      <c r="M540" s="1">
        <f t="shared" si="334"/>
        <v>0</v>
      </c>
      <c r="N540" s="1">
        <v>0</v>
      </c>
      <c r="O540" s="1">
        <v>0</v>
      </c>
      <c r="P540" s="1">
        <v>0</v>
      </c>
      <c r="Q540" s="1">
        <f t="shared" si="332"/>
        <v>0</v>
      </c>
      <c r="R540" s="1">
        <v>280</v>
      </c>
      <c r="S540" s="1">
        <f t="shared" si="333"/>
        <v>1050280</v>
      </c>
      <c r="T540" s="1">
        <v>0</v>
      </c>
      <c r="U540" s="1">
        <v>50000</v>
      </c>
      <c r="V540" s="1">
        <v>0</v>
      </c>
      <c r="W540" s="1">
        <v>50000</v>
      </c>
      <c r="X540" s="1">
        <v>0</v>
      </c>
      <c r="Y540" s="1">
        <v>0</v>
      </c>
      <c r="Z540" s="1">
        <v>0</v>
      </c>
      <c r="AA540" s="1">
        <v>0</v>
      </c>
      <c r="AB540" s="1">
        <v>0</v>
      </c>
      <c r="AC540" s="1">
        <v>0</v>
      </c>
      <c r="AD540" s="1">
        <v>0</v>
      </c>
    </row>
    <row r="541" spans="1:30" s="20" customFormat="1" ht="36" customHeight="1" x14ac:dyDescent="0.25">
      <c r="A541" s="2">
        <f t="shared" si="339"/>
        <v>513</v>
      </c>
      <c r="B541" s="6">
        <f t="shared" si="336"/>
        <v>513</v>
      </c>
      <c r="C541" s="19" t="s">
        <v>339</v>
      </c>
      <c r="D541" s="4">
        <f t="shared" si="337"/>
        <v>1356784.9999999998</v>
      </c>
      <c r="E541" s="1">
        <f t="shared" si="331"/>
        <v>1256784.9999999998</v>
      </c>
      <c r="F541" s="1">
        <f>804*320.2</f>
        <v>257440.8</v>
      </c>
      <c r="G541" s="1">
        <f>1693*320.2</f>
        <v>542098.6</v>
      </c>
      <c r="H541" s="1">
        <f>390*320.2</f>
        <v>124878</v>
      </c>
      <c r="I541" s="1">
        <f>571*320.2</f>
        <v>182834.19999999998</v>
      </c>
      <c r="J541" s="1">
        <f>467*320.2</f>
        <v>149533.4</v>
      </c>
      <c r="K541" s="1">
        <v>0</v>
      </c>
      <c r="L541" s="2">
        <v>0</v>
      </c>
      <c r="M541" s="1">
        <f t="shared" si="334"/>
        <v>0</v>
      </c>
      <c r="N541" s="1">
        <v>0</v>
      </c>
      <c r="O541" s="1">
        <v>0</v>
      </c>
      <c r="P541" s="1">
        <v>0</v>
      </c>
      <c r="Q541" s="1">
        <f t="shared" si="332"/>
        <v>0</v>
      </c>
      <c r="R541" s="1">
        <v>0</v>
      </c>
      <c r="S541" s="1">
        <f t="shared" si="333"/>
        <v>0</v>
      </c>
      <c r="T541" s="1">
        <v>0</v>
      </c>
      <c r="U541" s="1">
        <v>50000</v>
      </c>
      <c r="V541" s="1">
        <v>0</v>
      </c>
      <c r="W541" s="1">
        <v>50000</v>
      </c>
      <c r="X541" s="1">
        <v>0</v>
      </c>
      <c r="Y541" s="1">
        <v>0</v>
      </c>
      <c r="Z541" s="1">
        <v>0</v>
      </c>
      <c r="AA541" s="1">
        <v>0</v>
      </c>
      <c r="AB541" s="1">
        <v>0</v>
      </c>
      <c r="AC541" s="1">
        <v>0</v>
      </c>
      <c r="AD541" s="1">
        <v>0</v>
      </c>
    </row>
    <row r="542" spans="1:30" s="20" customFormat="1" ht="36" customHeight="1" x14ac:dyDescent="0.25">
      <c r="A542" s="2">
        <f t="shared" si="339"/>
        <v>514</v>
      </c>
      <c r="B542" s="6">
        <f t="shared" si="336"/>
        <v>514</v>
      </c>
      <c r="C542" s="30" t="s">
        <v>343</v>
      </c>
      <c r="D542" s="4">
        <f t="shared" si="337"/>
        <v>10074807.5</v>
      </c>
      <c r="E542" s="1">
        <f t="shared" si="331"/>
        <v>7504207.5000000009</v>
      </c>
      <c r="F542" s="1">
        <f>804*1911.9</f>
        <v>1537167.6</v>
      </c>
      <c r="G542" s="1">
        <f>1693*1911.9</f>
        <v>3236846.7</v>
      </c>
      <c r="H542" s="1">
        <f>390*1911.9</f>
        <v>745641</v>
      </c>
      <c r="I542" s="1">
        <f>571*1911.9</f>
        <v>1091694.9000000001</v>
      </c>
      <c r="J542" s="1">
        <f>467*1911.9</f>
        <v>892857.3</v>
      </c>
      <c r="K542" s="1">
        <v>0</v>
      </c>
      <c r="L542" s="2">
        <v>0</v>
      </c>
      <c r="M542" s="1">
        <f t="shared" si="334"/>
        <v>0</v>
      </c>
      <c r="N542" s="1">
        <v>0</v>
      </c>
      <c r="O542" s="1">
        <f>N542*7750</f>
        <v>0</v>
      </c>
      <c r="P542" s="1">
        <v>50</v>
      </c>
      <c r="Q542" s="1">
        <f t="shared" si="332"/>
        <v>70000</v>
      </c>
      <c r="R542" s="1">
        <v>600</v>
      </c>
      <c r="S542" s="1">
        <f t="shared" si="333"/>
        <v>2250600</v>
      </c>
      <c r="T542" s="1">
        <v>150000</v>
      </c>
      <c r="U542" s="1">
        <v>50000</v>
      </c>
      <c r="V542" s="1">
        <v>0</v>
      </c>
      <c r="W542" s="1">
        <v>50000</v>
      </c>
      <c r="X542" s="1">
        <v>0</v>
      </c>
      <c r="Y542" s="1">
        <v>0</v>
      </c>
      <c r="Z542" s="1">
        <v>0</v>
      </c>
      <c r="AA542" s="1">
        <v>0</v>
      </c>
      <c r="AB542" s="1">
        <v>0</v>
      </c>
      <c r="AC542" s="1">
        <v>0</v>
      </c>
      <c r="AD542" s="1">
        <v>0</v>
      </c>
    </row>
    <row r="543" spans="1:30" s="20" customFormat="1" ht="36" customHeight="1" x14ac:dyDescent="0.25">
      <c r="A543" s="2">
        <f t="shared" si="339"/>
        <v>515</v>
      </c>
      <c r="B543" s="6">
        <f t="shared" si="336"/>
        <v>515</v>
      </c>
      <c r="C543" s="30" t="s">
        <v>344</v>
      </c>
      <c r="D543" s="4">
        <f t="shared" si="337"/>
        <v>5033057.75</v>
      </c>
      <c r="E543" s="1">
        <f t="shared" si="331"/>
        <v>4933057.75</v>
      </c>
      <c r="F543" s="1">
        <f>804*1256.83</f>
        <v>1010491.32</v>
      </c>
      <c r="G543" s="1">
        <f>1693*1256.83</f>
        <v>2127813.19</v>
      </c>
      <c r="H543" s="1">
        <f>390*1256.83</f>
        <v>490163.69999999995</v>
      </c>
      <c r="I543" s="1">
        <f>571*1256.83</f>
        <v>717649.92999999993</v>
      </c>
      <c r="J543" s="1">
        <f>467*1256.83</f>
        <v>586939.61</v>
      </c>
      <c r="K543" s="1">
        <v>0</v>
      </c>
      <c r="L543" s="2">
        <v>0</v>
      </c>
      <c r="M543" s="1">
        <f t="shared" si="334"/>
        <v>0</v>
      </c>
      <c r="N543" s="1">
        <v>0</v>
      </c>
      <c r="O543" s="1">
        <v>0</v>
      </c>
      <c r="P543" s="1">
        <v>0</v>
      </c>
      <c r="Q543" s="1">
        <f t="shared" si="332"/>
        <v>0</v>
      </c>
      <c r="R543" s="1">
        <v>0</v>
      </c>
      <c r="S543" s="1">
        <f t="shared" si="333"/>
        <v>0</v>
      </c>
      <c r="T543" s="1">
        <v>0</v>
      </c>
      <c r="U543" s="1">
        <v>50000</v>
      </c>
      <c r="V543" s="1">
        <v>0</v>
      </c>
      <c r="W543" s="1">
        <v>50000</v>
      </c>
      <c r="X543" s="1">
        <v>0</v>
      </c>
      <c r="Y543" s="1">
        <v>0</v>
      </c>
      <c r="Z543" s="1">
        <v>0</v>
      </c>
      <c r="AA543" s="1">
        <v>0</v>
      </c>
      <c r="AB543" s="1">
        <v>0</v>
      </c>
      <c r="AC543" s="1">
        <v>0</v>
      </c>
      <c r="AD543" s="1">
        <v>0</v>
      </c>
    </row>
    <row r="544" spans="1:30" s="20" customFormat="1" ht="36" customHeight="1" x14ac:dyDescent="0.25">
      <c r="A544" s="2">
        <f t="shared" si="339"/>
        <v>516</v>
      </c>
      <c r="B544" s="6">
        <f t="shared" ref="B544" si="340">A544</f>
        <v>516</v>
      </c>
      <c r="C544" s="19" t="s">
        <v>881</v>
      </c>
      <c r="D544" s="4">
        <f>E544+M544+O544+Q544+S544+T544+U544+V544+X544+W544+Z544+AA544+AB544+AC544+AD544</f>
        <v>7440000</v>
      </c>
      <c r="E544" s="1">
        <f t="shared" ref="E544" si="341">SUM(F544:K544)</f>
        <v>0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2">
        <v>0</v>
      </c>
      <c r="M544" s="1">
        <v>0</v>
      </c>
      <c r="N544" s="1">
        <v>960</v>
      </c>
      <c r="O544" s="1">
        <f>N544*7750</f>
        <v>7440000</v>
      </c>
      <c r="P544" s="1">
        <v>0</v>
      </c>
      <c r="Q544" s="1">
        <f t="shared" ref="Q544" si="342">P544*1400</f>
        <v>0</v>
      </c>
      <c r="R544" s="1">
        <v>0</v>
      </c>
      <c r="S544" s="1">
        <f t="shared" ref="S544" si="343">R544*3751</f>
        <v>0</v>
      </c>
      <c r="T544" s="1">
        <v>0</v>
      </c>
      <c r="U544" s="1">
        <v>0</v>
      </c>
      <c r="V544" s="1">
        <v>0</v>
      </c>
      <c r="W544" s="1">
        <v>0</v>
      </c>
      <c r="X544" s="1">
        <v>0</v>
      </c>
      <c r="Y544" s="1">
        <v>0</v>
      </c>
      <c r="Z544" s="1">
        <v>0</v>
      </c>
      <c r="AA544" s="1">
        <v>0</v>
      </c>
      <c r="AB544" s="1">
        <v>0</v>
      </c>
      <c r="AC544" s="1">
        <v>0</v>
      </c>
      <c r="AD544" s="1">
        <v>0</v>
      </c>
    </row>
    <row r="545" spans="1:30" s="20" customFormat="1" ht="36" customHeight="1" x14ac:dyDescent="0.25">
      <c r="A545" s="2">
        <f t="shared" si="339"/>
        <v>517</v>
      </c>
      <c r="B545" s="6">
        <f t="shared" si="336"/>
        <v>517</v>
      </c>
      <c r="C545" s="19" t="s">
        <v>345</v>
      </c>
      <c r="D545" s="4">
        <f t="shared" ref="D545:D608" si="344">E545+M545+O545+Q545+S545+T545+U545+V545+W545+X545+Z545+AA545+AB545+AC545+AD545</f>
        <v>5807530</v>
      </c>
      <c r="E545" s="1">
        <f t="shared" si="331"/>
        <v>3757010.0000000005</v>
      </c>
      <c r="F545" s="1">
        <f>804*957.2</f>
        <v>769588.8</v>
      </c>
      <c r="G545" s="1">
        <f>1693*957.2</f>
        <v>1620539.6</v>
      </c>
      <c r="H545" s="1">
        <f>390*957.2</f>
        <v>373308</v>
      </c>
      <c r="I545" s="1">
        <f>571*957.2</f>
        <v>546561.20000000007</v>
      </c>
      <c r="J545" s="1">
        <f>467*957.2</f>
        <v>447012.4</v>
      </c>
      <c r="K545" s="1">
        <v>0</v>
      </c>
      <c r="L545" s="2">
        <v>0</v>
      </c>
      <c r="M545" s="1">
        <f t="shared" si="334"/>
        <v>0</v>
      </c>
      <c r="N545" s="1">
        <v>0</v>
      </c>
      <c r="O545" s="1">
        <v>0</v>
      </c>
      <c r="P545" s="1">
        <v>0</v>
      </c>
      <c r="Q545" s="1">
        <f t="shared" si="332"/>
        <v>0</v>
      </c>
      <c r="R545" s="1">
        <v>520</v>
      </c>
      <c r="S545" s="1">
        <f t="shared" si="333"/>
        <v>1950520</v>
      </c>
      <c r="T545" s="1">
        <v>0</v>
      </c>
      <c r="U545" s="1">
        <v>50000</v>
      </c>
      <c r="V545" s="1">
        <v>0</v>
      </c>
      <c r="W545" s="1">
        <v>50000</v>
      </c>
      <c r="X545" s="1">
        <v>0</v>
      </c>
      <c r="Y545" s="1">
        <v>0</v>
      </c>
      <c r="Z545" s="1">
        <v>0</v>
      </c>
      <c r="AA545" s="1">
        <v>0</v>
      </c>
      <c r="AB545" s="1">
        <v>0</v>
      </c>
      <c r="AC545" s="1">
        <v>0</v>
      </c>
      <c r="AD545" s="1">
        <v>0</v>
      </c>
    </row>
    <row r="546" spans="1:30" s="20" customFormat="1" ht="36" customHeight="1" x14ac:dyDescent="0.25">
      <c r="A546" s="2">
        <f t="shared" si="339"/>
        <v>518</v>
      </c>
      <c r="B546" s="6">
        <f t="shared" si="336"/>
        <v>518</v>
      </c>
      <c r="C546" s="19" t="s">
        <v>346</v>
      </c>
      <c r="D546" s="4">
        <f t="shared" si="344"/>
        <v>6085877.5</v>
      </c>
      <c r="E546" s="1">
        <f t="shared" si="331"/>
        <v>3885357.4999999995</v>
      </c>
      <c r="F546" s="1">
        <f>804*989.9</f>
        <v>795879.6</v>
      </c>
      <c r="G546" s="1">
        <f>1693*989.9</f>
        <v>1675900.7</v>
      </c>
      <c r="H546" s="1">
        <f>390*989.9</f>
        <v>386061</v>
      </c>
      <c r="I546" s="1">
        <f>571*989.9</f>
        <v>565232.9</v>
      </c>
      <c r="J546" s="1">
        <f>467*989.9</f>
        <v>462283.3</v>
      </c>
      <c r="K546" s="1">
        <v>0</v>
      </c>
      <c r="L546" s="2">
        <v>0</v>
      </c>
      <c r="M546" s="1">
        <f t="shared" si="334"/>
        <v>0</v>
      </c>
      <c r="N546" s="1">
        <v>0</v>
      </c>
      <c r="O546" s="1">
        <v>0</v>
      </c>
      <c r="P546" s="1">
        <v>0</v>
      </c>
      <c r="Q546" s="1">
        <f t="shared" si="332"/>
        <v>0</v>
      </c>
      <c r="R546" s="1">
        <v>520</v>
      </c>
      <c r="S546" s="1">
        <f t="shared" si="333"/>
        <v>1950520</v>
      </c>
      <c r="T546" s="1">
        <v>150000</v>
      </c>
      <c r="U546" s="1">
        <v>50000</v>
      </c>
      <c r="V546" s="1">
        <v>0</v>
      </c>
      <c r="W546" s="1">
        <v>50000</v>
      </c>
      <c r="X546" s="1">
        <v>0</v>
      </c>
      <c r="Y546" s="1">
        <v>0</v>
      </c>
      <c r="Z546" s="1">
        <v>0</v>
      </c>
      <c r="AA546" s="1">
        <v>0</v>
      </c>
      <c r="AB546" s="1">
        <v>0</v>
      </c>
      <c r="AC546" s="1">
        <v>0</v>
      </c>
      <c r="AD546" s="1">
        <v>0</v>
      </c>
    </row>
    <row r="547" spans="1:30" s="20" customFormat="1" ht="36" customHeight="1" x14ac:dyDescent="0.25">
      <c r="A547" s="2">
        <f t="shared" si="339"/>
        <v>519</v>
      </c>
      <c r="B547" s="6">
        <f t="shared" si="336"/>
        <v>519</v>
      </c>
      <c r="C547" s="19" t="s">
        <v>347</v>
      </c>
      <c r="D547" s="4">
        <f t="shared" si="344"/>
        <v>5979837.5</v>
      </c>
      <c r="E547" s="1">
        <f t="shared" si="331"/>
        <v>3929317.5000000005</v>
      </c>
      <c r="F547" s="1">
        <f>804*1001.1</f>
        <v>804884.4</v>
      </c>
      <c r="G547" s="1">
        <f>1693*1001.1</f>
        <v>1694862.3</v>
      </c>
      <c r="H547" s="1">
        <f>390*1001.1</f>
        <v>390429</v>
      </c>
      <c r="I547" s="1">
        <f>571*1001.1</f>
        <v>571628.1</v>
      </c>
      <c r="J547" s="1">
        <f>467*1001.1</f>
        <v>467513.7</v>
      </c>
      <c r="K547" s="1">
        <v>0</v>
      </c>
      <c r="L547" s="2">
        <v>0</v>
      </c>
      <c r="M547" s="1">
        <f t="shared" si="334"/>
        <v>0</v>
      </c>
      <c r="N547" s="1">
        <v>0</v>
      </c>
      <c r="O547" s="1">
        <v>0</v>
      </c>
      <c r="P547" s="1">
        <v>0</v>
      </c>
      <c r="Q547" s="1">
        <f t="shared" si="332"/>
        <v>0</v>
      </c>
      <c r="R547" s="1">
        <v>520</v>
      </c>
      <c r="S547" s="1">
        <f t="shared" si="333"/>
        <v>1950520</v>
      </c>
      <c r="T547" s="1">
        <v>0</v>
      </c>
      <c r="U547" s="1">
        <v>50000</v>
      </c>
      <c r="V547" s="1">
        <v>0</v>
      </c>
      <c r="W547" s="1">
        <v>50000</v>
      </c>
      <c r="X547" s="1">
        <v>0</v>
      </c>
      <c r="Y547" s="1">
        <v>0</v>
      </c>
      <c r="Z547" s="1">
        <v>0</v>
      </c>
      <c r="AA547" s="1">
        <v>0</v>
      </c>
      <c r="AB547" s="1">
        <v>0</v>
      </c>
      <c r="AC547" s="1">
        <v>0</v>
      </c>
      <c r="AD547" s="1">
        <v>0</v>
      </c>
    </row>
    <row r="548" spans="1:30" s="20" customFormat="1" ht="36" customHeight="1" x14ac:dyDescent="0.25">
      <c r="A548" s="2">
        <f t="shared" si="339"/>
        <v>520</v>
      </c>
      <c r="B548" s="6">
        <f t="shared" si="336"/>
        <v>520</v>
      </c>
      <c r="C548" s="19" t="s">
        <v>348</v>
      </c>
      <c r="D548" s="4">
        <f t="shared" si="344"/>
        <v>12211810.75</v>
      </c>
      <c r="E548" s="1">
        <f t="shared" si="331"/>
        <v>9186030.75</v>
      </c>
      <c r="F548" s="1">
        <f>804*2340.39</f>
        <v>1881673.5599999998</v>
      </c>
      <c r="G548" s="1">
        <f>1693*2340.39</f>
        <v>3962280.2699999996</v>
      </c>
      <c r="H548" s="1">
        <f>390*2340.39</f>
        <v>912752.1</v>
      </c>
      <c r="I548" s="1">
        <f>571*2340.39</f>
        <v>1336362.69</v>
      </c>
      <c r="J548" s="1">
        <f>467*2340.39</f>
        <v>1092962.1299999999</v>
      </c>
      <c r="K548" s="1">
        <v>0</v>
      </c>
      <c r="L548" s="2">
        <v>0</v>
      </c>
      <c r="M548" s="1">
        <f t="shared" si="334"/>
        <v>0</v>
      </c>
      <c r="N548" s="1">
        <v>0</v>
      </c>
      <c r="O548" s="1">
        <v>0</v>
      </c>
      <c r="P548" s="1">
        <v>0</v>
      </c>
      <c r="Q548" s="1">
        <f t="shared" si="332"/>
        <v>0</v>
      </c>
      <c r="R548" s="1">
        <v>780</v>
      </c>
      <c r="S548" s="1">
        <f t="shared" si="333"/>
        <v>2925780</v>
      </c>
      <c r="T548" s="1">
        <v>0</v>
      </c>
      <c r="U548" s="1">
        <v>50000</v>
      </c>
      <c r="V548" s="1">
        <v>0</v>
      </c>
      <c r="W548" s="1">
        <v>50000</v>
      </c>
      <c r="X548" s="1">
        <v>0</v>
      </c>
      <c r="Y548" s="1">
        <v>0</v>
      </c>
      <c r="Z548" s="1">
        <v>0</v>
      </c>
      <c r="AA548" s="1">
        <v>0</v>
      </c>
      <c r="AB548" s="1">
        <v>0</v>
      </c>
      <c r="AC548" s="1">
        <v>0</v>
      </c>
      <c r="AD548" s="1">
        <v>0</v>
      </c>
    </row>
    <row r="549" spans="1:30" s="20" customFormat="1" ht="36" customHeight="1" x14ac:dyDescent="0.25">
      <c r="A549" s="2">
        <f t="shared" si="339"/>
        <v>521</v>
      </c>
      <c r="B549" s="6">
        <f t="shared" si="336"/>
        <v>521</v>
      </c>
      <c r="C549" s="19" t="s">
        <v>349</v>
      </c>
      <c r="D549" s="4">
        <f t="shared" si="344"/>
        <v>3344405.0000000005</v>
      </c>
      <c r="E549" s="1">
        <f t="shared" si="331"/>
        <v>3244405.0000000005</v>
      </c>
      <c r="F549" s="1">
        <f>804*826.6</f>
        <v>664586.4</v>
      </c>
      <c r="G549" s="1">
        <f>1693*826.6</f>
        <v>1399433.8</v>
      </c>
      <c r="H549" s="1">
        <f>390*826.6</f>
        <v>322374</v>
      </c>
      <c r="I549" s="1">
        <f>571*826.6</f>
        <v>471988.60000000003</v>
      </c>
      <c r="J549" s="1">
        <f>467*826.6</f>
        <v>386022.2</v>
      </c>
      <c r="K549" s="1">
        <v>0</v>
      </c>
      <c r="L549" s="2">
        <v>0</v>
      </c>
      <c r="M549" s="1">
        <f t="shared" si="334"/>
        <v>0</v>
      </c>
      <c r="N549" s="1">
        <v>0</v>
      </c>
      <c r="O549" s="1">
        <v>0</v>
      </c>
      <c r="P549" s="1">
        <v>0</v>
      </c>
      <c r="Q549" s="1">
        <f t="shared" si="332"/>
        <v>0</v>
      </c>
      <c r="R549" s="1">
        <v>0</v>
      </c>
      <c r="S549" s="1">
        <f t="shared" si="333"/>
        <v>0</v>
      </c>
      <c r="T549" s="1">
        <v>0</v>
      </c>
      <c r="U549" s="1">
        <v>50000</v>
      </c>
      <c r="V549" s="1">
        <v>0</v>
      </c>
      <c r="W549" s="1">
        <v>50000</v>
      </c>
      <c r="X549" s="1">
        <v>0</v>
      </c>
      <c r="Y549" s="1">
        <v>0</v>
      </c>
      <c r="Z549" s="1">
        <v>0</v>
      </c>
      <c r="AA549" s="1">
        <v>0</v>
      </c>
      <c r="AB549" s="1">
        <v>0</v>
      </c>
      <c r="AC549" s="1">
        <v>0</v>
      </c>
      <c r="AD549" s="1">
        <v>0</v>
      </c>
    </row>
    <row r="550" spans="1:30" s="20" customFormat="1" ht="36" customHeight="1" x14ac:dyDescent="0.25">
      <c r="A550" s="2">
        <f t="shared" si="339"/>
        <v>522</v>
      </c>
      <c r="B550" s="6">
        <f t="shared" si="336"/>
        <v>522</v>
      </c>
      <c r="C550" s="30" t="s">
        <v>351</v>
      </c>
      <c r="D550" s="4">
        <f t="shared" si="344"/>
        <v>17855010</v>
      </c>
      <c r="E550" s="1">
        <f t="shared" si="331"/>
        <v>12878709.999999998</v>
      </c>
      <c r="F550" s="1">
        <f>804*3281.2</f>
        <v>2638084.7999999998</v>
      </c>
      <c r="G550" s="1">
        <f>1693*3281.2</f>
        <v>5555071.5999999996</v>
      </c>
      <c r="H550" s="1">
        <f>390*3281.2</f>
        <v>1279668</v>
      </c>
      <c r="I550" s="1">
        <f>571*3281.2</f>
        <v>1873565.2</v>
      </c>
      <c r="J550" s="1">
        <f>467*3281.2</f>
        <v>1532320.4</v>
      </c>
      <c r="K550" s="1">
        <v>0</v>
      </c>
      <c r="L550" s="2">
        <v>0</v>
      </c>
      <c r="M550" s="1">
        <f t="shared" si="334"/>
        <v>0</v>
      </c>
      <c r="N550" s="1">
        <v>0</v>
      </c>
      <c r="O550" s="1">
        <v>0</v>
      </c>
      <c r="P550" s="1">
        <v>0</v>
      </c>
      <c r="Q550" s="1">
        <f t="shared" si="332"/>
        <v>0</v>
      </c>
      <c r="R550" s="1">
        <v>1300</v>
      </c>
      <c r="S550" s="1">
        <f t="shared" si="333"/>
        <v>4876300</v>
      </c>
      <c r="T550" s="1">
        <v>0</v>
      </c>
      <c r="U550" s="1">
        <v>50000</v>
      </c>
      <c r="V550" s="1">
        <v>0</v>
      </c>
      <c r="W550" s="1">
        <v>50000</v>
      </c>
      <c r="X550" s="1">
        <v>0</v>
      </c>
      <c r="Y550" s="1">
        <v>0</v>
      </c>
      <c r="Z550" s="1">
        <v>0</v>
      </c>
      <c r="AA550" s="1">
        <v>0</v>
      </c>
      <c r="AB550" s="1">
        <v>0</v>
      </c>
      <c r="AC550" s="1">
        <v>0</v>
      </c>
      <c r="AD550" s="1">
        <v>0</v>
      </c>
    </row>
    <row r="551" spans="1:30" s="20" customFormat="1" ht="36" customHeight="1" x14ac:dyDescent="0.25">
      <c r="A551" s="2">
        <f t="shared" si="339"/>
        <v>523</v>
      </c>
      <c r="B551" s="6">
        <f>A551</f>
        <v>523</v>
      </c>
      <c r="C551" s="30" t="s">
        <v>350</v>
      </c>
      <c r="D551" s="4">
        <f t="shared" si="344"/>
        <v>3447504.75</v>
      </c>
      <c r="E551" s="1">
        <f>SUM(F551:K551)</f>
        <v>1959634.75</v>
      </c>
      <c r="F551" s="1">
        <f>804*499.27</f>
        <v>401413.07999999996</v>
      </c>
      <c r="G551" s="1">
        <f>1693*499.27</f>
        <v>845264.11</v>
      </c>
      <c r="H551" s="1">
        <f>390*499.27</f>
        <v>194715.3</v>
      </c>
      <c r="I551" s="1">
        <f>571*499.27</f>
        <v>285083.17</v>
      </c>
      <c r="J551" s="1">
        <f>467*499.27</f>
        <v>233159.09</v>
      </c>
      <c r="K551" s="1">
        <v>0</v>
      </c>
      <c r="L551" s="2">
        <v>0</v>
      </c>
      <c r="M551" s="1">
        <f>L551*3500000</f>
        <v>0</v>
      </c>
      <c r="N551" s="1">
        <v>0</v>
      </c>
      <c r="O551" s="1">
        <v>0</v>
      </c>
      <c r="P551" s="1">
        <v>0</v>
      </c>
      <c r="Q551" s="1">
        <f>P551*1400</f>
        <v>0</v>
      </c>
      <c r="R551" s="1">
        <v>370</v>
      </c>
      <c r="S551" s="1">
        <f>R551*3751</f>
        <v>1387870</v>
      </c>
      <c r="T551" s="1">
        <v>0</v>
      </c>
      <c r="U551" s="1">
        <v>50000</v>
      </c>
      <c r="V551" s="1">
        <v>0</v>
      </c>
      <c r="W551" s="1">
        <v>50000</v>
      </c>
      <c r="X551" s="1">
        <v>0</v>
      </c>
      <c r="Y551" s="1">
        <v>0</v>
      </c>
      <c r="Z551" s="1">
        <v>0</v>
      </c>
      <c r="AA551" s="1">
        <v>0</v>
      </c>
      <c r="AB551" s="1">
        <v>0</v>
      </c>
      <c r="AC551" s="1">
        <v>0</v>
      </c>
      <c r="AD551" s="1">
        <v>0</v>
      </c>
    </row>
    <row r="552" spans="1:30" s="20" customFormat="1" ht="36" customHeight="1" x14ac:dyDescent="0.25">
      <c r="A552" s="2">
        <f t="shared" si="339"/>
        <v>524</v>
      </c>
      <c r="B552" s="6">
        <f>A552</f>
        <v>524</v>
      </c>
      <c r="C552" s="19" t="s">
        <v>2274</v>
      </c>
      <c r="D552" s="4">
        <f t="shared" si="344"/>
        <v>7200000</v>
      </c>
      <c r="E552" s="1">
        <f>SUM(F552:K552)</f>
        <v>0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2">
        <v>2</v>
      </c>
      <c r="M552" s="1">
        <f t="shared" si="334"/>
        <v>7000000</v>
      </c>
      <c r="N552" s="1">
        <v>0</v>
      </c>
      <c r="O552" s="1">
        <v>0</v>
      </c>
      <c r="P552" s="1">
        <v>0</v>
      </c>
      <c r="Q552" s="1">
        <f>P552*1400</f>
        <v>0</v>
      </c>
      <c r="R552" s="1">
        <v>0</v>
      </c>
      <c r="S552" s="1">
        <f>R552*3751</f>
        <v>0</v>
      </c>
      <c r="T552" s="1">
        <v>0</v>
      </c>
      <c r="U552" s="1">
        <v>200000</v>
      </c>
      <c r="V552" s="1">
        <v>0</v>
      </c>
      <c r="W552" s="1">
        <v>0</v>
      </c>
      <c r="X552" s="1">
        <v>0</v>
      </c>
      <c r="Y552" s="1">
        <v>0</v>
      </c>
      <c r="Z552" s="1">
        <v>0</v>
      </c>
      <c r="AA552" s="1">
        <v>0</v>
      </c>
      <c r="AB552" s="1">
        <v>0</v>
      </c>
      <c r="AC552" s="1">
        <v>0</v>
      </c>
      <c r="AD552" s="1">
        <v>0</v>
      </c>
    </row>
    <row r="553" spans="1:30" s="20" customFormat="1" ht="36" customHeight="1" x14ac:dyDescent="0.25">
      <c r="A553" s="2">
        <f t="shared" si="339"/>
        <v>525</v>
      </c>
      <c r="B553" s="6">
        <f t="shared" si="336"/>
        <v>525</v>
      </c>
      <c r="C553" s="30" t="s">
        <v>352</v>
      </c>
      <c r="D553" s="4">
        <f t="shared" si="344"/>
        <v>1818279.8</v>
      </c>
      <c r="E553" s="1">
        <f t="shared" si="331"/>
        <v>1718279.8</v>
      </c>
      <c r="F553" s="1">
        <v>0</v>
      </c>
      <c r="G553" s="1">
        <v>0</v>
      </c>
      <c r="H553" s="1">
        <v>0</v>
      </c>
      <c r="I553" s="1">
        <v>0</v>
      </c>
      <c r="J553" s="1">
        <f>467*3679.4</f>
        <v>1718279.8</v>
      </c>
      <c r="K553" s="1">
        <v>0</v>
      </c>
      <c r="L553" s="2">
        <v>0</v>
      </c>
      <c r="M553" s="1">
        <f t="shared" si="334"/>
        <v>0</v>
      </c>
      <c r="N553" s="1">
        <v>0</v>
      </c>
      <c r="O553" s="1">
        <v>0</v>
      </c>
      <c r="P553" s="1">
        <v>0</v>
      </c>
      <c r="Q553" s="1">
        <f t="shared" si="332"/>
        <v>0</v>
      </c>
      <c r="R553" s="1">
        <v>0</v>
      </c>
      <c r="S553" s="1">
        <f t="shared" si="333"/>
        <v>0</v>
      </c>
      <c r="T553" s="1">
        <v>0</v>
      </c>
      <c r="U553" s="1">
        <v>50000</v>
      </c>
      <c r="V553" s="1">
        <v>0</v>
      </c>
      <c r="W553" s="1">
        <v>50000</v>
      </c>
      <c r="X553" s="1">
        <v>0</v>
      </c>
      <c r="Y553" s="1">
        <v>0</v>
      </c>
      <c r="Z553" s="1">
        <v>0</v>
      </c>
      <c r="AA553" s="1">
        <v>0</v>
      </c>
      <c r="AB553" s="1">
        <v>0</v>
      </c>
      <c r="AC553" s="1">
        <v>0</v>
      </c>
      <c r="AD553" s="1">
        <v>0</v>
      </c>
    </row>
    <row r="554" spans="1:30" s="20" customFormat="1" ht="36" customHeight="1" x14ac:dyDescent="0.25">
      <c r="A554" s="2">
        <f t="shared" si="339"/>
        <v>526</v>
      </c>
      <c r="B554" s="6">
        <f t="shared" si="336"/>
        <v>526</v>
      </c>
      <c r="C554" s="30" t="s">
        <v>353</v>
      </c>
      <c r="D554" s="4">
        <f t="shared" si="344"/>
        <v>10649301</v>
      </c>
      <c r="E554" s="1">
        <f t="shared" si="331"/>
        <v>10549301</v>
      </c>
      <c r="F554" s="1">
        <f>804*2687.72</f>
        <v>2160926.88</v>
      </c>
      <c r="G554" s="1">
        <f>1693*2687.72</f>
        <v>4550309.96</v>
      </c>
      <c r="H554" s="1">
        <f>390*2687.72</f>
        <v>1048210.7999999999</v>
      </c>
      <c r="I554" s="1">
        <f>571*2687.72</f>
        <v>1534688.1199999999</v>
      </c>
      <c r="J554" s="1">
        <f>467*2687.72</f>
        <v>1255165.24</v>
      </c>
      <c r="K554" s="1">
        <v>0</v>
      </c>
      <c r="L554" s="2">
        <v>0</v>
      </c>
      <c r="M554" s="1">
        <f t="shared" si="334"/>
        <v>0</v>
      </c>
      <c r="N554" s="1">
        <v>0</v>
      </c>
      <c r="O554" s="1">
        <v>0</v>
      </c>
      <c r="P554" s="1">
        <v>0</v>
      </c>
      <c r="Q554" s="1">
        <f t="shared" ref="Q554:Q647" si="345">P554*1400</f>
        <v>0</v>
      </c>
      <c r="R554" s="1">
        <v>0</v>
      </c>
      <c r="S554" s="1">
        <f t="shared" ref="S554:S647" si="346">R554*3751</f>
        <v>0</v>
      </c>
      <c r="T554" s="1">
        <v>0</v>
      </c>
      <c r="U554" s="1">
        <v>50000</v>
      </c>
      <c r="V554" s="1">
        <v>0</v>
      </c>
      <c r="W554" s="1">
        <v>50000</v>
      </c>
      <c r="X554" s="1">
        <v>0</v>
      </c>
      <c r="Y554" s="1">
        <v>0</v>
      </c>
      <c r="Z554" s="1">
        <v>0</v>
      </c>
      <c r="AA554" s="1">
        <v>0</v>
      </c>
      <c r="AB554" s="1">
        <v>0</v>
      </c>
      <c r="AC554" s="1">
        <v>0</v>
      </c>
      <c r="AD554" s="1">
        <v>0</v>
      </c>
    </row>
    <row r="555" spans="1:30" s="20" customFormat="1" ht="36" customHeight="1" x14ac:dyDescent="0.25">
      <c r="A555" s="2">
        <f t="shared" si="339"/>
        <v>527</v>
      </c>
      <c r="B555" s="6">
        <f t="shared" si="336"/>
        <v>527</v>
      </c>
      <c r="C555" s="30" t="s">
        <v>354</v>
      </c>
      <c r="D555" s="4">
        <f t="shared" si="344"/>
        <v>14964092.749999998</v>
      </c>
      <c r="E555" s="1">
        <f t="shared" ref="E555:E648" si="347">SUM(F555:K555)</f>
        <v>14864092.749999998</v>
      </c>
      <c r="F555" s="1">
        <f>804*3787.03</f>
        <v>3044772.12</v>
      </c>
      <c r="G555" s="1">
        <f>1693*3787.03</f>
        <v>6411441.79</v>
      </c>
      <c r="H555" s="1">
        <f>390*3787.03</f>
        <v>1476941.7000000002</v>
      </c>
      <c r="I555" s="1">
        <f>571*3787.03</f>
        <v>2162394.13</v>
      </c>
      <c r="J555" s="1">
        <f>467*3787.03</f>
        <v>1768543.01</v>
      </c>
      <c r="K555" s="1">
        <v>0</v>
      </c>
      <c r="L555" s="2">
        <v>0</v>
      </c>
      <c r="M555" s="1">
        <f t="shared" si="334"/>
        <v>0</v>
      </c>
      <c r="N555" s="1">
        <v>0</v>
      </c>
      <c r="O555" s="1">
        <v>0</v>
      </c>
      <c r="P555" s="1">
        <v>0</v>
      </c>
      <c r="Q555" s="1">
        <f t="shared" si="345"/>
        <v>0</v>
      </c>
      <c r="R555" s="1">
        <v>0</v>
      </c>
      <c r="S555" s="1">
        <f t="shared" si="346"/>
        <v>0</v>
      </c>
      <c r="T555" s="1">
        <v>0</v>
      </c>
      <c r="U555" s="1">
        <v>50000</v>
      </c>
      <c r="V555" s="1">
        <v>0</v>
      </c>
      <c r="W555" s="1">
        <v>50000</v>
      </c>
      <c r="X555" s="1">
        <v>0</v>
      </c>
      <c r="Y555" s="1">
        <v>0</v>
      </c>
      <c r="Z555" s="1">
        <v>0</v>
      </c>
      <c r="AA555" s="1">
        <v>0</v>
      </c>
      <c r="AB555" s="1">
        <v>0</v>
      </c>
      <c r="AC555" s="1">
        <v>0</v>
      </c>
      <c r="AD555" s="1">
        <v>0</v>
      </c>
    </row>
    <row r="556" spans="1:30" s="20" customFormat="1" ht="36" customHeight="1" x14ac:dyDescent="0.25">
      <c r="A556" s="2">
        <f t="shared" si="339"/>
        <v>528</v>
      </c>
      <c r="B556" s="6">
        <f t="shared" si="336"/>
        <v>528</v>
      </c>
      <c r="C556" s="30" t="s">
        <v>356</v>
      </c>
      <c r="D556" s="4">
        <f t="shared" si="344"/>
        <v>6279637.75</v>
      </c>
      <c r="E556" s="1">
        <f t="shared" si="347"/>
        <v>6179637.75</v>
      </c>
      <c r="F556" s="1">
        <f>804*1574.43</f>
        <v>1265841.72</v>
      </c>
      <c r="G556" s="1">
        <f>1693*1574.43</f>
        <v>2665509.9900000002</v>
      </c>
      <c r="H556" s="1">
        <f>390*1574.43</f>
        <v>614027.70000000007</v>
      </c>
      <c r="I556" s="1">
        <f>571*1574.43</f>
        <v>898999.53</v>
      </c>
      <c r="J556" s="1">
        <f>467*1574.43</f>
        <v>735258.81</v>
      </c>
      <c r="K556" s="1">
        <v>0</v>
      </c>
      <c r="L556" s="2">
        <v>0</v>
      </c>
      <c r="M556" s="1">
        <f t="shared" ref="M556:M649" si="348">L556*3500000</f>
        <v>0</v>
      </c>
      <c r="N556" s="1">
        <v>0</v>
      </c>
      <c r="O556" s="1">
        <v>0</v>
      </c>
      <c r="P556" s="1">
        <v>0</v>
      </c>
      <c r="Q556" s="1">
        <f t="shared" si="345"/>
        <v>0</v>
      </c>
      <c r="R556" s="1">
        <v>0</v>
      </c>
      <c r="S556" s="1">
        <f t="shared" si="346"/>
        <v>0</v>
      </c>
      <c r="T556" s="1">
        <v>0</v>
      </c>
      <c r="U556" s="1">
        <v>50000</v>
      </c>
      <c r="V556" s="1">
        <v>0</v>
      </c>
      <c r="W556" s="1">
        <v>50000</v>
      </c>
      <c r="X556" s="1">
        <v>0</v>
      </c>
      <c r="Y556" s="1">
        <v>0</v>
      </c>
      <c r="Z556" s="1">
        <v>0</v>
      </c>
      <c r="AA556" s="1">
        <v>0</v>
      </c>
      <c r="AB556" s="1">
        <v>0</v>
      </c>
      <c r="AC556" s="1">
        <v>0</v>
      </c>
      <c r="AD556" s="1">
        <v>0</v>
      </c>
    </row>
    <row r="557" spans="1:30" s="20" customFormat="1" ht="36" customHeight="1" x14ac:dyDescent="0.25">
      <c r="A557" s="2">
        <f t="shared" si="339"/>
        <v>529</v>
      </c>
      <c r="B557" s="6">
        <f t="shared" si="336"/>
        <v>529</v>
      </c>
      <c r="C557" s="30" t="s">
        <v>357</v>
      </c>
      <c r="D557" s="4">
        <f t="shared" si="344"/>
        <v>7467185.7499999991</v>
      </c>
      <c r="E557" s="1">
        <f t="shared" si="347"/>
        <v>7367185.7499999991</v>
      </c>
      <c r="F557" s="1">
        <f>804*1876.99</f>
        <v>1509099.96</v>
      </c>
      <c r="G557" s="1">
        <f>1693*1876.99</f>
        <v>3177744.07</v>
      </c>
      <c r="H557" s="1">
        <f>390*1876.99</f>
        <v>732026.1</v>
      </c>
      <c r="I557" s="1">
        <f>571*1876.99</f>
        <v>1071761.29</v>
      </c>
      <c r="J557" s="1">
        <f>467*1876.99</f>
        <v>876554.33</v>
      </c>
      <c r="K557" s="1">
        <v>0</v>
      </c>
      <c r="L557" s="2">
        <v>0</v>
      </c>
      <c r="M557" s="1">
        <f t="shared" si="348"/>
        <v>0</v>
      </c>
      <c r="N557" s="1">
        <v>0</v>
      </c>
      <c r="O557" s="1">
        <v>0</v>
      </c>
      <c r="P557" s="1">
        <v>0</v>
      </c>
      <c r="Q557" s="1">
        <f t="shared" si="345"/>
        <v>0</v>
      </c>
      <c r="R557" s="1">
        <v>0</v>
      </c>
      <c r="S557" s="1">
        <f t="shared" si="346"/>
        <v>0</v>
      </c>
      <c r="T557" s="1">
        <v>0</v>
      </c>
      <c r="U557" s="1">
        <v>50000</v>
      </c>
      <c r="V557" s="1">
        <v>0</v>
      </c>
      <c r="W557" s="1">
        <v>50000</v>
      </c>
      <c r="X557" s="1">
        <v>0</v>
      </c>
      <c r="Y557" s="1">
        <v>0</v>
      </c>
      <c r="Z557" s="1">
        <v>0</v>
      </c>
      <c r="AA557" s="1">
        <v>0</v>
      </c>
      <c r="AB557" s="1">
        <v>0</v>
      </c>
      <c r="AC557" s="1">
        <v>0</v>
      </c>
      <c r="AD557" s="1">
        <v>0</v>
      </c>
    </row>
    <row r="558" spans="1:30" s="20" customFormat="1" ht="36" customHeight="1" x14ac:dyDescent="0.25">
      <c r="A558" s="2">
        <f t="shared" si="339"/>
        <v>530</v>
      </c>
      <c r="B558" s="6">
        <f t="shared" si="336"/>
        <v>530</v>
      </c>
      <c r="C558" s="19" t="s">
        <v>358</v>
      </c>
      <c r="D558" s="4">
        <f t="shared" si="344"/>
        <v>2374932.5</v>
      </c>
      <c r="E558" s="1">
        <f t="shared" si="347"/>
        <v>1149632.5</v>
      </c>
      <c r="F558" s="1">
        <f>804*292.9</f>
        <v>235491.59999999998</v>
      </c>
      <c r="G558" s="1">
        <f>1693*292.9</f>
        <v>495879.69999999995</v>
      </c>
      <c r="H558" s="1">
        <f>390*292.9</f>
        <v>114230.99999999999</v>
      </c>
      <c r="I558" s="1">
        <f>571*292.9</f>
        <v>167245.9</v>
      </c>
      <c r="J558" s="1">
        <f>467*292.9</f>
        <v>136784.29999999999</v>
      </c>
      <c r="K558" s="1">
        <v>0</v>
      </c>
      <c r="L558" s="2">
        <v>0</v>
      </c>
      <c r="M558" s="1">
        <f t="shared" si="348"/>
        <v>0</v>
      </c>
      <c r="N558" s="1">
        <v>0</v>
      </c>
      <c r="O558" s="1">
        <v>0</v>
      </c>
      <c r="P558" s="1">
        <v>0</v>
      </c>
      <c r="Q558" s="1">
        <f t="shared" si="345"/>
        <v>0</v>
      </c>
      <c r="R558" s="1">
        <v>300</v>
      </c>
      <c r="S558" s="1">
        <f t="shared" si="346"/>
        <v>1125300</v>
      </c>
      <c r="T558" s="1">
        <v>0</v>
      </c>
      <c r="U558" s="1">
        <v>50000</v>
      </c>
      <c r="V558" s="1">
        <v>0</v>
      </c>
      <c r="W558" s="1">
        <v>50000</v>
      </c>
      <c r="X558" s="1">
        <v>0</v>
      </c>
      <c r="Y558" s="1">
        <v>0</v>
      </c>
      <c r="Z558" s="1">
        <v>0</v>
      </c>
      <c r="AA558" s="1">
        <v>0</v>
      </c>
      <c r="AB558" s="1">
        <v>0</v>
      </c>
      <c r="AC558" s="1">
        <v>0</v>
      </c>
      <c r="AD558" s="1">
        <v>0</v>
      </c>
    </row>
    <row r="559" spans="1:30" s="20" customFormat="1" ht="36" customHeight="1" x14ac:dyDescent="0.25">
      <c r="A559" s="2">
        <f t="shared" si="339"/>
        <v>531</v>
      </c>
      <c r="B559" s="6">
        <f t="shared" si="336"/>
        <v>531</v>
      </c>
      <c r="C559" s="19" t="s">
        <v>359</v>
      </c>
      <c r="D559" s="4">
        <f t="shared" si="344"/>
        <v>2327047.5</v>
      </c>
      <c r="E559" s="1">
        <f t="shared" si="347"/>
        <v>1101747.4999999998</v>
      </c>
      <c r="F559" s="1">
        <f>804*280.7</f>
        <v>225682.8</v>
      </c>
      <c r="G559" s="1">
        <f>1693*280.7</f>
        <v>475225.1</v>
      </c>
      <c r="H559" s="1">
        <f>390*280.7</f>
        <v>109473</v>
      </c>
      <c r="I559" s="1">
        <f>571*280.7</f>
        <v>160279.69999999998</v>
      </c>
      <c r="J559" s="1">
        <f>467*280.7</f>
        <v>131086.9</v>
      </c>
      <c r="K559" s="1">
        <v>0</v>
      </c>
      <c r="L559" s="2">
        <v>0</v>
      </c>
      <c r="M559" s="1">
        <f t="shared" si="348"/>
        <v>0</v>
      </c>
      <c r="N559" s="1">
        <v>0</v>
      </c>
      <c r="O559" s="1">
        <v>0</v>
      </c>
      <c r="P559" s="1">
        <v>0</v>
      </c>
      <c r="Q559" s="1">
        <f t="shared" si="345"/>
        <v>0</v>
      </c>
      <c r="R559" s="1">
        <v>300</v>
      </c>
      <c r="S559" s="1">
        <f t="shared" si="346"/>
        <v>1125300</v>
      </c>
      <c r="T559" s="1">
        <v>0</v>
      </c>
      <c r="U559" s="1">
        <v>50000</v>
      </c>
      <c r="V559" s="1">
        <v>0</v>
      </c>
      <c r="W559" s="1">
        <v>50000</v>
      </c>
      <c r="X559" s="1">
        <v>0</v>
      </c>
      <c r="Y559" s="1">
        <v>0</v>
      </c>
      <c r="Z559" s="1">
        <v>0</v>
      </c>
      <c r="AA559" s="1">
        <v>0</v>
      </c>
      <c r="AB559" s="1">
        <v>0</v>
      </c>
      <c r="AC559" s="1">
        <v>0</v>
      </c>
      <c r="AD559" s="1">
        <v>0</v>
      </c>
    </row>
    <row r="560" spans="1:30" s="20" customFormat="1" ht="36" customHeight="1" x14ac:dyDescent="0.25">
      <c r="A560" s="2">
        <f t="shared" si="339"/>
        <v>532</v>
      </c>
      <c r="B560" s="6">
        <f t="shared" si="336"/>
        <v>532</v>
      </c>
      <c r="C560" s="19" t="s">
        <v>888</v>
      </c>
      <c r="D560" s="4">
        <f t="shared" si="344"/>
        <v>2903475</v>
      </c>
      <c r="E560" s="1">
        <f>SUM(F560:K560)</f>
        <v>2853475</v>
      </c>
      <c r="F560" s="1">
        <f>804*727</f>
        <v>584508</v>
      </c>
      <c r="G560" s="1">
        <f>1693*727</f>
        <v>1230811</v>
      </c>
      <c r="H560" s="1">
        <f>390*727</f>
        <v>283530</v>
      </c>
      <c r="I560" s="1">
        <f>571*727</f>
        <v>415117</v>
      </c>
      <c r="J560" s="1">
        <f>467*727</f>
        <v>339509</v>
      </c>
      <c r="K560" s="1">
        <v>0</v>
      </c>
      <c r="L560" s="2">
        <v>0</v>
      </c>
      <c r="M560" s="1">
        <v>0</v>
      </c>
      <c r="N560" s="1">
        <v>0</v>
      </c>
      <c r="O560" s="1">
        <v>0</v>
      </c>
      <c r="P560" s="1">
        <v>0</v>
      </c>
      <c r="Q560" s="1">
        <f t="shared" si="345"/>
        <v>0</v>
      </c>
      <c r="R560" s="1">
        <v>0</v>
      </c>
      <c r="S560" s="1">
        <f t="shared" si="346"/>
        <v>0</v>
      </c>
      <c r="T560" s="1">
        <v>0</v>
      </c>
      <c r="U560" s="1">
        <v>50000</v>
      </c>
      <c r="V560" s="1">
        <v>0</v>
      </c>
      <c r="W560" s="1">
        <v>0</v>
      </c>
      <c r="X560" s="1">
        <v>0</v>
      </c>
      <c r="Y560" s="1">
        <v>0</v>
      </c>
      <c r="Z560" s="1">
        <v>0</v>
      </c>
      <c r="AA560" s="1">
        <v>0</v>
      </c>
      <c r="AB560" s="1">
        <v>0</v>
      </c>
      <c r="AC560" s="1">
        <v>0</v>
      </c>
      <c r="AD560" s="1">
        <v>0</v>
      </c>
    </row>
    <row r="561" spans="1:30" s="20" customFormat="1" ht="36" customHeight="1" x14ac:dyDescent="0.25">
      <c r="A561" s="2">
        <f t="shared" si="339"/>
        <v>533</v>
      </c>
      <c r="B561" s="6">
        <f t="shared" si="336"/>
        <v>533</v>
      </c>
      <c r="C561" s="19" t="s">
        <v>360</v>
      </c>
      <c r="D561" s="4">
        <f t="shared" si="344"/>
        <v>8175290.0000000009</v>
      </c>
      <c r="E561" s="1">
        <f t="shared" si="347"/>
        <v>6174810.0000000009</v>
      </c>
      <c r="F561" s="1">
        <f>804*1573.2</f>
        <v>1264852.8</v>
      </c>
      <c r="G561" s="1">
        <f>1693*1573.2</f>
        <v>2663427.6</v>
      </c>
      <c r="H561" s="1">
        <f>390*1573.2</f>
        <v>613548</v>
      </c>
      <c r="I561" s="1">
        <f>571*1573.2</f>
        <v>898297.20000000007</v>
      </c>
      <c r="J561" s="1">
        <f>467*1573.2</f>
        <v>734684.4</v>
      </c>
      <c r="K561" s="1">
        <v>0</v>
      </c>
      <c r="L561" s="2">
        <v>0</v>
      </c>
      <c r="M561" s="1">
        <f t="shared" si="348"/>
        <v>0</v>
      </c>
      <c r="N561" s="1">
        <v>0</v>
      </c>
      <c r="O561" s="1">
        <v>0</v>
      </c>
      <c r="P561" s="1">
        <v>0</v>
      </c>
      <c r="Q561" s="1">
        <f t="shared" si="345"/>
        <v>0</v>
      </c>
      <c r="R561" s="1">
        <v>480</v>
      </c>
      <c r="S561" s="1">
        <f t="shared" si="346"/>
        <v>1800480</v>
      </c>
      <c r="T561" s="1">
        <v>0</v>
      </c>
      <c r="U561" s="1">
        <v>150000</v>
      </c>
      <c r="V561" s="1">
        <v>0</v>
      </c>
      <c r="W561" s="1">
        <v>50000</v>
      </c>
      <c r="X561" s="1">
        <v>0</v>
      </c>
      <c r="Y561" s="1">
        <v>0</v>
      </c>
      <c r="Z561" s="1">
        <v>0</v>
      </c>
      <c r="AA561" s="1">
        <v>0</v>
      </c>
      <c r="AB561" s="1">
        <v>0</v>
      </c>
      <c r="AC561" s="1">
        <v>0</v>
      </c>
      <c r="AD561" s="1">
        <v>0</v>
      </c>
    </row>
    <row r="562" spans="1:30" s="20" customFormat="1" ht="36" customHeight="1" x14ac:dyDescent="0.25">
      <c r="A562" s="2">
        <f t="shared" si="339"/>
        <v>534</v>
      </c>
      <c r="B562" s="6">
        <f t="shared" si="336"/>
        <v>534</v>
      </c>
      <c r="C562" s="30" t="s">
        <v>361</v>
      </c>
      <c r="D562" s="4">
        <f t="shared" si="344"/>
        <v>23184178.25</v>
      </c>
      <c r="E562" s="1">
        <f t="shared" si="347"/>
        <v>20508478.25</v>
      </c>
      <c r="F562" s="1">
        <f>804*5225.09</f>
        <v>4200972.3600000003</v>
      </c>
      <c r="G562" s="1">
        <f>1693*5225.09</f>
        <v>8846077.370000001</v>
      </c>
      <c r="H562" s="1">
        <f>390*5225.09</f>
        <v>2037785.1</v>
      </c>
      <c r="I562" s="1">
        <f>571*5225.09</f>
        <v>2983526.39</v>
      </c>
      <c r="J562" s="1">
        <f>467*5225.09</f>
        <v>2440117.0300000003</v>
      </c>
      <c r="K562" s="1">
        <v>0</v>
      </c>
      <c r="L562" s="2">
        <v>0</v>
      </c>
      <c r="M562" s="1">
        <f t="shared" si="348"/>
        <v>0</v>
      </c>
      <c r="N562" s="1">
        <v>0</v>
      </c>
      <c r="O562" s="1">
        <v>0</v>
      </c>
      <c r="P562" s="1">
        <v>0</v>
      </c>
      <c r="Q562" s="1">
        <f t="shared" si="345"/>
        <v>0</v>
      </c>
      <c r="R562" s="1">
        <v>700</v>
      </c>
      <c r="S562" s="1">
        <f t="shared" si="346"/>
        <v>2625700</v>
      </c>
      <c r="T562" s="1">
        <v>0</v>
      </c>
      <c r="U562" s="1">
        <v>0</v>
      </c>
      <c r="V562" s="1">
        <v>0</v>
      </c>
      <c r="W562" s="1">
        <v>50000</v>
      </c>
      <c r="X562" s="1">
        <v>0</v>
      </c>
      <c r="Y562" s="1">
        <v>0</v>
      </c>
      <c r="Z562" s="1">
        <v>0</v>
      </c>
      <c r="AA562" s="1">
        <v>0</v>
      </c>
      <c r="AB562" s="1">
        <v>0</v>
      </c>
      <c r="AC562" s="1">
        <v>0</v>
      </c>
      <c r="AD562" s="1">
        <v>0</v>
      </c>
    </row>
    <row r="563" spans="1:30" s="20" customFormat="1" ht="36" customHeight="1" x14ac:dyDescent="0.25">
      <c r="A563" s="2">
        <f t="shared" si="339"/>
        <v>535</v>
      </c>
      <c r="B563" s="6">
        <f t="shared" si="336"/>
        <v>535</v>
      </c>
      <c r="C563" s="19" t="s">
        <v>362</v>
      </c>
      <c r="D563" s="4">
        <f t="shared" si="344"/>
        <v>14966850.25</v>
      </c>
      <c r="E563" s="1">
        <f t="shared" si="347"/>
        <v>10365650.25</v>
      </c>
      <c r="F563" s="1">
        <f>804*2640.93</f>
        <v>2123307.7199999997</v>
      </c>
      <c r="G563" s="1">
        <f>1693*2640.93</f>
        <v>4471094.4899999993</v>
      </c>
      <c r="H563" s="1">
        <f>390*2640.93</f>
        <v>1029962.7</v>
      </c>
      <c r="I563" s="1">
        <f>571*2640.93</f>
        <v>1507971.0299999998</v>
      </c>
      <c r="J563" s="1">
        <f>467*2640.93</f>
        <v>1233314.3099999998</v>
      </c>
      <c r="K563" s="1">
        <v>0</v>
      </c>
      <c r="L563" s="2">
        <v>0</v>
      </c>
      <c r="M563" s="1">
        <f t="shared" si="348"/>
        <v>0</v>
      </c>
      <c r="N563" s="1">
        <v>0</v>
      </c>
      <c r="O563" s="1">
        <v>0</v>
      </c>
      <c r="P563" s="1">
        <v>0</v>
      </c>
      <c r="Q563" s="1">
        <f t="shared" si="345"/>
        <v>0</v>
      </c>
      <c r="R563" s="1">
        <v>1200</v>
      </c>
      <c r="S563" s="1">
        <f t="shared" si="346"/>
        <v>4501200</v>
      </c>
      <c r="T563" s="1">
        <v>0</v>
      </c>
      <c r="U563" s="1">
        <v>50000</v>
      </c>
      <c r="V563" s="1">
        <v>0</v>
      </c>
      <c r="W563" s="1">
        <v>50000</v>
      </c>
      <c r="X563" s="1">
        <v>0</v>
      </c>
      <c r="Y563" s="1">
        <v>0</v>
      </c>
      <c r="Z563" s="1">
        <v>0</v>
      </c>
      <c r="AA563" s="1">
        <v>0</v>
      </c>
      <c r="AB563" s="1">
        <v>0</v>
      </c>
      <c r="AC563" s="1">
        <v>0</v>
      </c>
      <c r="AD563" s="1">
        <v>0</v>
      </c>
    </row>
    <row r="564" spans="1:30" s="20" customFormat="1" ht="36" customHeight="1" x14ac:dyDescent="0.25">
      <c r="A564" s="2">
        <f t="shared" si="339"/>
        <v>536</v>
      </c>
      <c r="B564" s="6">
        <f t="shared" si="336"/>
        <v>536</v>
      </c>
      <c r="C564" s="19" t="s">
        <v>363</v>
      </c>
      <c r="D564" s="4">
        <f t="shared" si="344"/>
        <v>15449377.5</v>
      </c>
      <c r="E564" s="1">
        <f t="shared" si="347"/>
        <v>10473077.5</v>
      </c>
      <c r="F564" s="1">
        <f>804*2668.3</f>
        <v>2145313.2000000002</v>
      </c>
      <c r="G564" s="1">
        <f>1693*2668.3</f>
        <v>4517431.9000000004</v>
      </c>
      <c r="H564" s="1">
        <f>390*2668.3</f>
        <v>1040637.0000000001</v>
      </c>
      <c r="I564" s="1">
        <f>571*2668.3</f>
        <v>1523599.3</v>
      </c>
      <c r="J564" s="1">
        <f>467*2668.3</f>
        <v>1246096.1000000001</v>
      </c>
      <c r="K564" s="1">
        <v>0</v>
      </c>
      <c r="L564" s="2">
        <v>0</v>
      </c>
      <c r="M564" s="1">
        <f t="shared" si="348"/>
        <v>0</v>
      </c>
      <c r="N564" s="1">
        <v>0</v>
      </c>
      <c r="O564" s="1">
        <v>0</v>
      </c>
      <c r="P564" s="1">
        <v>0</v>
      </c>
      <c r="Q564" s="1">
        <f t="shared" si="345"/>
        <v>0</v>
      </c>
      <c r="R564" s="1">
        <v>1300</v>
      </c>
      <c r="S564" s="1">
        <f t="shared" si="346"/>
        <v>4876300</v>
      </c>
      <c r="T564" s="1">
        <v>0</v>
      </c>
      <c r="U564" s="1">
        <v>50000</v>
      </c>
      <c r="V564" s="1">
        <v>0</v>
      </c>
      <c r="W564" s="1">
        <v>50000</v>
      </c>
      <c r="X564" s="1">
        <v>0</v>
      </c>
      <c r="Y564" s="1">
        <v>0</v>
      </c>
      <c r="Z564" s="1">
        <v>0</v>
      </c>
      <c r="AA564" s="1">
        <v>0</v>
      </c>
      <c r="AB564" s="1">
        <v>0</v>
      </c>
      <c r="AC564" s="1">
        <v>0</v>
      </c>
      <c r="AD564" s="1">
        <v>0</v>
      </c>
    </row>
    <row r="565" spans="1:30" s="20" customFormat="1" ht="36" customHeight="1" x14ac:dyDescent="0.25">
      <c r="A565" s="2">
        <f t="shared" si="339"/>
        <v>537</v>
      </c>
      <c r="B565" s="6">
        <f t="shared" si="336"/>
        <v>537</v>
      </c>
      <c r="C565" s="19" t="s">
        <v>364</v>
      </c>
      <c r="D565" s="4">
        <f t="shared" si="344"/>
        <v>15250379.999999998</v>
      </c>
      <c r="E565" s="1">
        <f t="shared" si="347"/>
        <v>10274079.999999998</v>
      </c>
      <c r="F565" s="1">
        <f>804*2617.6</f>
        <v>2104550.3999999999</v>
      </c>
      <c r="G565" s="1">
        <f>1693*2617.6</f>
        <v>4431596.8</v>
      </c>
      <c r="H565" s="1">
        <f>390*2617.6</f>
        <v>1020864</v>
      </c>
      <c r="I565" s="1">
        <f>571*2617.6</f>
        <v>1494649.5999999999</v>
      </c>
      <c r="J565" s="1">
        <f>467*2617.6</f>
        <v>1222419.2</v>
      </c>
      <c r="K565" s="1">
        <v>0</v>
      </c>
      <c r="L565" s="2">
        <v>0</v>
      </c>
      <c r="M565" s="1">
        <f t="shared" si="348"/>
        <v>0</v>
      </c>
      <c r="N565" s="1">
        <v>0</v>
      </c>
      <c r="O565" s="1">
        <v>0</v>
      </c>
      <c r="P565" s="1">
        <v>0</v>
      </c>
      <c r="Q565" s="1">
        <f t="shared" si="345"/>
        <v>0</v>
      </c>
      <c r="R565" s="1">
        <v>1300</v>
      </c>
      <c r="S565" s="1">
        <f t="shared" si="346"/>
        <v>4876300</v>
      </c>
      <c r="T565" s="1">
        <v>0</v>
      </c>
      <c r="U565" s="1">
        <v>50000</v>
      </c>
      <c r="V565" s="1">
        <v>0</v>
      </c>
      <c r="W565" s="1">
        <v>50000</v>
      </c>
      <c r="X565" s="1">
        <v>0</v>
      </c>
      <c r="Y565" s="1">
        <v>0</v>
      </c>
      <c r="Z565" s="1">
        <v>0</v>
      </c>
      <c r="AA565" s="1">
        <v>0</v>
      </c>
      <c r="AB565" s="1">
        <v>0</v>
      </c>
      <c r="AC565" s="1">
        <v>0</v>
      </c>
      <c r="AD565" s="1">
        <v>0</v>
      </c>
    </row>
    <row r="566" spans="1:30" s="20" customFormat="1" ht="36" customHeight="1" x14ac:dyDescent="0.25">
      <c r="A566" s="2">
        <f t="shared" si="339"/>
        <v>538</v>
      </c>
      <c r="B566" s="6">
        <f t="shared" si="336"/>
        <v>538</v>
      </c>
      <c r="C566" s="19" t="s">
        <v>365</v>
      </c>
      <c r="D566" s="4">
        <f t="shared" si="344"/>
        <v>15664624.5</v>
      </c>
      <c r="E566" s="1">
        <f t="shared" si="347"/>
        <v>10688324.5</v>
      </c>
      <c r="F566" s="1">
        <f>804*2723.14</f>
        <v>2189404.56</v>
      </c>
      <c r="G566" s="1">
        <f>1693*2723.14</f>
        <v>4610276.0199999996</v>
      </c>
      <c r="H566" s="1">
        <f>390*2723.14</f>
        <v>1062024.5999999999</v>
      </c>
      <c r="I566" s="1">
        <f>571*2723.14</f>
        <v>1554912.94</v>
      </c>
      <c r="J566" s="1">
        <f>467*2723.14</f>
        <v>1271706.3799999999</v>
      </c>
      <c r="K566" s="1">
        <v>0</v>
      </c>
      <c r="L566" s="2">
        <v>0</v>
      </c>
      <c r="M566" s="1">
        <f t="shared" si="348"/>
        <v>0</v>
      </c>
      <c r="N566" s="1">
        <v>0</v>
      </c>
      <c r="O566" s="1">
        <v>0</v>
      </c>
      <c r="P566" s="1">
        <v>0</v>
      </c>
      <c r="Q566" s="1">
        <f t="shared" si="345"/>
        <v>0</v>
      </c>
      <c r="R566" s="1">
        <v>1300</v>
      </c>
      <c r="S566" s="1">
        <f t="shared" si="346"/>
        <v>4876300</v>
      </c>
      <c r="T566" s="1">
        <v>0</v>
      </c>
      <c r="U566" s="1">
        <v>50000</v>
      </c>
      <c r="V566" s="1">
        <v>0</v>
      </c>
      <c r="W566" s="1">
        <v>50000</v>
      </c>
      <c r="X566" s="1">
        <v>0</v>
      </c>
      <c r="Y566" s="1">
        <v>0</v>
      </c>
      <c r="Z566" s="1">
        <v>0</v>
      </c>
      <c r="AA566" s="1">
        <v>0</v>
      </c>
      <c r="AB566" s="1">
        <v>0</v>
      </c>
      <c r="AC566" s="1">
        <v>0</v>
      </c>
      <c r="AD566" s="1">
        <v>0</v>
      </c>
    </row>
    <row r="567" spans="1:30" s="20" customFormat="1" ht="36" customHeight="1" x14ac:dyDescent="0.25">
      <c r="A567" s="2">
        <f t="shared" si="339"/>
        <v>539</v>
      </c>
      <c r="B567" s="6">
        <f t="shared" si="336"/>
        <v>539</v>
      </c>
      <c r="C567" s="19" t="s">
        <v>366</v>
      </c>
      <c r="D567" s="4">
        <f t="shared" si="344"/>
        <v>15379251.250000002</v>
      </c>
      <c r="E567" s="1">
        <f t="shared" si="347"/>
        <v>10215401.250000002</v>
      </c>
      <c r="F567" s="1">
        <f>804*2602.65</f>
        <v>2092530.6</v>
      </c>
      <c r="G567" s="1">
        <f>1693*2602.65</f>
        <v>4406286.45</v>
      </c>
      <c r="H567" s="1">
        <f>390*2602.65</f>
        <v>1015033.5</v>
      </c>
      <c r="I567" s="1">
        <f>571*2602.65</f>
        <v>1486113.1500000001</v>
      </c>
      <c r="J567" s="1">
        <f>467*2602.65</f>
        <v>1215437.55</v>
      </c>
      <c r="K567" s="1">
        <v>0</v>
      </c>
      <c r="L567" s="2">
        <v>0</v>
      </c>
      <c r="M567" s="1">
        <f t="shared" si="348"/>
        <v>0</v>
      </c>
      <c r="N567" s="1">
        <v>0</v>
      </c>
      <c r="O567" s="1">
        <v>0</v>
      </c>
      <c r="P567" s="1">
        <v>0</v>
      </c>
      <c r="Q567" s="1">
        <f t="shared" si="345"/>
        <v>0</v>
      </c>
      <c r="R567" s="1">
        <v>1350</v>
      </c>
      <c r="S567" s="1">
        <f t="shared" si="346"/>
        <v>5063850</v>
      </c>
      <c r="T567" s="1">
        <v>0</v>
      </c>
      <c r="U567" s="1">
        <v>50000</v>
      </c>
      <c r="V567" s="1">
        <v>0</v>
      </c>
      <c r="W567" s="1">
        <v>50000</v>
      </c>
      <c r="X567" s="1">
        <v>0</v>
      </c>
      <c r="Y567" s="1">
        <v>0</v>
      </c>
      <c r="Z567" s="1">
        <v>0</v>
      </c>
      <c r="AA567" s="1">
        <v>0</v>
      </c>
      <c r="AB567" s="1">
        <v>0</v>
      </c>
      <c r="AC567" s="1">
        <v>0</v>
      </c>
      <c r="AD567" s="1">
        <v>0</v>
      </c>
    </row>
    <row r="568" spans="1:30" s="20" customFormat="1" ht="36" customHeight="1" x14ac:dyDescent="0.25">
      <c r="A568" s="2">
        <f t="shared" si="339"/>
        <v>540</v>
      </c>
      <c r="B568" s="6">
        <f t="shared" si="336"/>
        <v>540</v>
      </c>
      <c r="C568" s="19" t="s">
        <v>892</v>
      </c>
      <c r="D568" s="4">
        <f t="shared" si="344"/>
        <v>8907338.25</v>
      </c>
      <c r="E568" s="1">
        <f t="shared" si="347"/>
        <v>6641610.2500000009</v>
      </c>
      <c r="F568" s="1">
        <f>804*1692.13</f>
        <v>1360472.52</v>
      </c>
      <c r="G568" s="1">
        <f>1693*1692.13</f>
        <v>2864776.0900000003</v>
      </c>
      <c r="H568" s="1">
        <f>390*1692.13</f>
        <v>659930.70000000007</v>
      </c>
      <c r="I568" s="1">
        <f>571*1692.13</f>
        <v>966206.2300000001</v>
      </c>
      <c r="J568" s="1">
        <f>467*1692.13</f>
        <v>790224.71000000008</v>
      </c>
      <c r="K568" s="1">
        <v>0</v>
      </c>
      <c r="L568" s="2">
        <v>0</v>
      </c>
      <c r="M568" s="1">
        <v>0</v>
      </c>
      <c r="N568" s="1">
        <v>446</v>
      </c>
      <c r="O568" s="1">
        <f>N568*4968</f>
        <v>2215728</v>
      </c>
      <c r="P568" s="1">
        <v>0</v>
      </c>
      <c r="Q568" s="1">
        <f t="shared" si="345"/>
        <v>0</v>
      </c>
      <c r="R568" s="1">
        <v>0</v>
      </c>
      <c r="S568" s="1">
        <f t="shared" si="346"/>
        <v>0</v>
      </c>
      <c r="T568" s="1">
        <v>0</v>
      </c>
      <c r="U568" s="1">
        <v>50000</v>
      </c>
      <c r="V568" s="1">
        <v>0</v>
      </c>
      <c r="W568" s="1">
        <v>0</v>
      </c>
      <c r="X568" s="1">
        <v>0</v>
      </c>
      <c r="Y568" s="1">
        <v>0</v>
      </c>
      <c r="Z568" s="1">
        <v>0</v>
      </c>
      <c r="AA568" s="1">
        <v>0</v>
      </c>
      <c r="AB568" s="1">
        <v>0</v>
      </c>
      <c r="AC568" s="1">
        <v>0</v>
      </c>
      <c r="AD568" s="1">
        <v>0</v>
      </c>
    </row>
    <row r="569" spans="1:30" s="20" customFormat="1" ht="36" customHeight="1" x14ac:dyDescent="0.25">
      <c r="A569" s="2">
        <f t="shared" si="339"/>
        <v>541</v>
      </c>
      <c r="B569" s="6">
        <f t="shared" ref="B569:B576" si="349">A569</f>
        <v>541</v>
      </c>
      <c r="C569" s="19" t="s">
        <v>893</v>
      </c>
      <c r="D569" s="4">
        <f t="shared" si="344"/>
        <v>17909456.75</v>
      </c>
      <c r="E569" s="1">
        <f t="shared" ref="E569:E576" si="350">SUM(F569:K569)</f>
        <v>13552200.749999998</v>
      </c>
      <c r="F569" s="1">
        <f>804*3452.79</f>
        <v>2776043.16</v>
      </c>
      <c r="G569" s="1">
        <f>1693*3452.79</f>
        <v>5845573.4699999997</v>
      </c>
      <c r="H569" s="1">
        <f>390*3452.79</f>
        <v>1346588.1</v>
      </c>
      <c r="I569" s="1">
        <f>571*3452.79</f>
        <v>1971543.09</v>
      </c>
      <c r="J569" s="1">
        <f>467*3452.79</f>
        <v>1612452.93</v>
      </c>
      <c r="K569" s="1">
        <v>0</v>
      </c>
      <c r="L569" s="2">
        <v>0</v>
      </c>
      <c r="M569" s="1">
        <v>0</v>
      </c>
      <c r="N569" s="1">
        <v>867</v>
      </c>
      <c r="O569" s="1">
        <f>N569*4968</f>
        <v>4307256</v>
      </c>
      <c r="P569" s="1">
        <v>0</v>
      </c>
      <c r="Q569" s="1">
        <f t="shared" ref="Q569:Q576" si="351">P569*1400</f>
        <v>0</v>
      </c>
      <c r="R569" s="1">
        <v>0</v>
      </c>
      <c r="S569" s="1">
        <f t="shared" ref="S569:S576" si="352">R569*3751</f>
        <v>0</v>
      </c>
      <c r="T569" s="1">
        <v>0</v>
      </c>
      <c r="U569" s="1">
        <v>50000</v>
      </c>
      <c r="V569" s="1">
        <v>0</v>
      </c>
      <c r="W569" s="1">
        <v>0</v>
      </c>
      <c r="X569" s="1">
        <v>0</v>
      </c>
      <c r="Y569" s="1">
        <v>0</v>
      </c>
      <c r="Z569" s="1">
        <v>0</v>
      </c>
      <c r="AA569" s="1">
        <v>0</v>
      </c>
      <c r="AB569" s="1">
        <v>0</v>
      </c>
      <c r="AC569" s="1">
        <v>0</v>
      </c>
      <c r="AD569" s="1">
        <v>0</v>
      </c>
    </row>
    <row r="570" spans="1:30" s="20" customFormat="1" ht="36" customHeight="1" x14ac:dyDescent="0.25">
      <c r="A570" s="2">
        <f t="shared" si="339"/>
        <v>542</v>
      </c>
      <c r="B570" s="6">
        <f t="shared" si="349"/>
        <v>542</v>
      </c>
      <c r="C570" s="19" t="s">
        <v>894</v>
      </c>
      <c r="D570" s="4">
        <f t="shared" si="344"/>
        <v>30866440.249999996</v>
      </c>
      <c r="E570" s="1">
        <f t="shared" si="350"/>
        <v>21547190.249999996</v>
      </c>
      <c r="F570" s="1">
        <f>804*5489.73</f>
        <v>4413742.92</v>
      </c>
      <c r="G570" s="1">
        <f>1693*5489.73</f>
        <v>9294112.8899999987</v>
      </c>
      <c r="H570" s="1">
        <f>390*5489.73</f>
        <v>2140994.6999999997</v>
      </c>
      <c r="I570" s="1">
        <f>571*5489.73</f>
        <v>3134635.8299999996</v>
      </c>
      <c r="J570" s="1">
        <f>467*5489.73</f>
        <v>2563703.9099999997</v>
      </c>
      <c r="K570" s="1">
        <v>0</v>
      </c>
      <c r="L570" s="2">
        <v>0</v>
      </c>
      <c r="M570" s="1">
        <v>0</v>
      </c>
      <c r="N570" s="1">
        <v>1187</v>
      </c>
      <c r="O570" s="1">
        <f>N570*7750</f>
        <v>9199250</v>
      </c>
      <c r="P570" s="1">
        <v>50</v>
      </c>
      <c r="Q570" s="1">
        <f t="shared" si="351"/>
        <v>70000</v>
      </c>
      <c r="R570" s="1">
        <v>0</v>
      </c>
      <c r="S570" s="1">
        <f t="shared" si="352"/>
        <v>0</v>
      </c>
      <c r="T570" s="1">
        <v>0</v>
      </c>
      <c r="U570" s="1">
        <v>50000</v>
      </c>
      <c r="V570" s="1">
        <v>0</v>
      </c>
      <c r="W570" s="1">
        <v>0</v>
      </c>
      <c r="X570" s="1">
        <v>0</v>
      </c>
      <c r="Y570" s="1">
        <v>0</v>
      </c>
      <c r="Z570" s="1">
        <v>0</v>
      </c>
      <c r="AA570" s="1">
        <v>0</v>
      </c>
      <c r="AB570" s="1">
        <v>0</v>
      </c>
      <c r="AC570" s="1">
        <v>0</v>
      </c>
      <c r="AD570" s="1">
        <v>0</v>
      </c>
    </row>
    <row r="571" spans="1:30" s="20" customFormat="1" ht="36" customHeight="1" x14ac:dyDescent="0.25">
      <c r="A571" s="2">
        <f t="shared" si="339"/>
        <v>543</v>
      </c>
      <c r="B571" s="6">
        <f>A571</f>
        <v>543</v>
      </c>
      <c r="C571" s="19" t="s">
        <v>2275</v>
      </c>
      <c r="D571" s="4">
        <f t="shared" si="344"/>
        <v>10700000</v>
      </c>
      <c r="E571" s="1">
        <f>SUM(F571:K571)</f>
        <v>0</v>
      </c>
      <c r="F571" s="1">
        <v>0</v>
      </c>
      <c r="G571" s="1">
        <v>0</v>
      </c>
      <c r="H571" s="1">
        <v>0</v>
      </c>
      <c r="I571" s="1">
        <v>0</v>
      </c>
      <c r="J571" s="1">
        <v>0</v>
      </c>
      <c r="K571" s="1">
        <v>0</v>
      </c>
      <c r="L571" s="2">
        <v>3</v>
      </c>
      <c r="M571" s="1">
        <f t="shared" ref="M571" si="353">L571*3500000</f>
        <v>10500000</v>
      </c>
      <c r="N571" s="1">
        <v>0</v>
      </c>
      <c r="O571" s="1">
        <v>0</v>
      </c>
      <c r="P571" s="1">
        <v>0</v>
      </c>
      <c r="Q571" s="1">
        <f>P571*1400</f>
        <v>0</v>
      </c>
      <c r="R571" s="1">
        <v>0</v>
      </c>
      <c r="S571" s="1">
        <f>R571*3751</f>
        <v>0</v>
      </c>
      <c r="T571" s="1">
        <v>0</v>
      </c>
      <c r="U571" s="1">
        <v>200000</v>
      </c>
      <c r="V571" s="1">
        <v>0</v>
      </c>
      <c r="W571" s="1">
        <v>0</v>
      </c>
      <c r="X571" s="1">
        <v>0</v>
      </c>
      <c r="Y571" s="1">
        <v>0</v>
      </c>
      <c r="Z571" s="1">
        <v>0</v>
      </c>
      <c r="AA571" s="1">
        <v>0</v>
      </c>
      <c r="AB571" s="1">
        <v>0</v>
      </c>
      <c r="AC571" s="1">
        <v>0</v>
      </c>
      <c r="AD571" s="1">
        <v>0</v>
      </c>
    </row>
    <row r="572" spans="1:30" s="20" customFormat="1" ht="36" customHeight="1" x14ac:dyDescent="0.25">
      <c r="A572" s="2">
        <f t="shared" si="339"/>
        <v>544</v>
      </c>
      <c r="B572" s="6">
        <f t="shared" si="349"/>
        <v>544</v>
      </c>
      <c r="C572" s="19" t="s">
        <v>896</v>
      </c>
      <c r="D572" s="4">
        <f t="shared" si="344"/>
        <v>10067176.75</v>
      </c>
      <c r="E572" s="1">
        <f t="shared" si="350"/>
        <v>6560676.75</v>
      </c>
      <c r="F572" s="1">
        <f>804*1671.51</f>
        <v>1343894.04</v>
      </c>
      <c r="G572" s="1">
        <f>1693*1671.51</f>
        <v>2829866.43</v>
      </c>
      <c r="H572" s="1">
        <f>390*1671.51</f>
        <v>651888.9</v>
      </c>
      <c r="I572" s="1">
        <f>571*1671.51</f>
        <v>954432.21</v>
      </c>
      <c r="J572" s="1">
        <f>467*1671.51</f>
        <v>780595.17</v>
      </c>
      <c r="K572" s="1">
        <v>0</v>
      </c>
      <c r="L572" s="2">
        <v>0</v>
      </c>
      <c r="M572" s="1">
        <v>0</v>
      </c>
      <c r="N572" s="1">
        <v>446</v>
      </c>
      <c r="O572" s="1">
        <f>N572*7750</f>
        <v>3456500</v>
      </c>
      <c r="P572" s="1">
        <v>0</v>
      </c>
      <c r="Q572" s="1">
        <f t="shared" si="351"/>
        <v>0</v>
      </c>
      <c r="R572" s="1">
        <v>0</v>
      </c>
      <c r="S572" s="1">
        <f t="shared" si="352"/>
        <v>0</v>
      </c>
      <c r="T572" s="1">
        <v>0</v>
      </c>
      <c r="U572" s="1">
        <v>50000</v>
      </c>
      <c r="V572" s="1">
        <v>0</v>
      </c>
      <c r="W572" s="1">
        <v>0</v>
      </c>
      <c r="X572" s="1">
        <v>0</v>
      </c>
      <c r="Y572" s="1">
        <v>0</v>
      </c>
      <c r="Z572" s="1">
        <v>0</v>
      </c>
      <c r="AA572" s="1">
        <v>0</v>
      </c>
      <c r="AB572" s="1">
        <v>0</v>
      </c>
      <c r="AC572" s="1">
        <v>0</v>
      </c>
      <c r="AD572" s="1">
        <v>0</v>
      </c>
    </row>
    <row r="573" spans="1:30" s="20" customFormat="1" ht="36" customHeight="1" x14ac:dyDescent="0.25">
      <c r="A573" s="2">
        <f t="shared" si="339"/>
        <v>545</v>
      </c>
      <c r="B573" s="6">
        <f t="shared" si="349"/>
        <v>545</v>
      </c>
      <c r="C573" s="19" t="s">
        <v>897</v>
      </c>
      <c r="D573" s="4">
        <f t="shared" si="344"/>
        <v>13863291.75</v>
      </c>
      <c r="E573" s="1">
        <f t="shared" si="350"/>
        <v>13813291.75</v>
      </c>
      <c r="F573" s="1">
        <f>804*3519.31</f>
        <v>2829525.2399999998</v>
      </c>
      <c r="G573" s="1">
        <f>1693*3519.31</f>
        <v>5958191.8300000001</v>
      </c>
      <c r="H573" s="1">
        <f>390*3519.31</f>
        <v>1372530.9</v>
      </c>
      <c r="I573" s="1">
        <f>571*3519.31</f>
        <v>2009526.01</v>
      </c>
      <c r="J573" s="1">
        <f>467*3519.31</f>
        <v>1643517.77</v>
      </c>
      <c r="K573" s="1">
        <v>0</v>
      </c>
      <c r="L573" s="2">
        <v>0</v>
      </c>
      <c r="M573" s="1">
        <v>0</v>
      </c>
      <c r="N573" s="1">
        <v>0</v>
      </c>
      <c r="O573" s="1">
        <v>0</v>
      </c>
      <c r="P573" s="1">
        <v>0</v>
      </c>
      <c r="Q573" s="1">
        <f t="shared" si="351"/>
        <v>0</v>
      </c>
      <c r="R573" s="1">
        <v>0</v>
      </c>
      <c r="S573" s="1">
        <f t="shared" si="352"/>
        <v>0</v>
      </c>
      <c r="T573" s="1">
        <v>0</v>
      </c>
      <c r="U573" s="1">
        <v>50000</v>
      </c>
      <c r="V573" s="1">
        <v>0</v>
      </c>
      <c r="W573" s="1">
        <v>0</v>
      </c>
      <c r="X573" s="1">
        <v>0</v>
      </c>
      <c r="Y573" s="1">
        <v>0</v>
      </c>
      <c r="Z573" s="1">
        <v>0</v>
      </c>
      <c r="AA573" s="1">
        <v>0</v>
      </c>
      <c r="AB573" s="1">
        <v>0</v>
      </c>
      <c r="AC573" s="1">
        <v>0</v>
      </c>
      <c r="AD573" s="1">
        <v>0</v>
      </c>
    </row>
    <row r="574" spans="1:30" s="20" customFormat="1" ht="36" customHeight="1" x14ac:dyDescent="0.25">
      <c r="A574" s="2">
        <f t="shared" si="339"/>
        <v>546</v>
      </c>
      <c r="B574" s="6">
        <f t="shared" si="349"/>
        <v>546</v>
      </c>
      <c r="C574" s="19" t="s">
        <v>899</v>
      </c>
      <c r="D574" s="4">
        <f t="shared" si="344"/>
        <v>6233798.25</v>
      </c>
      <c r="E574" s="1">
        <f t="shared" si="350"/>
        <v>6183798.25</v>
      </c>
      <c r="F574" s="1">
        <f>804*1575.49</f>
        <v>1266693.96</v>
      </c>
      <c r="G574" s="1">
        <f>1693*1575.49</f>
        <v>2667304.5699999998</v>
      </c>
      <c r="H574" s="1">
        <f>390*1575.49</f>
        <v>614441.1</v>
      </c>
      <c r="I574" s="1">
        <f>571*1575.49</f>
        <v>899604.79</v>
      </c>
      <c r="J574" s="1">
        <f>467*1575.49</f>
        <v>735753.83</v>
      </c>
      <c r="K574" s="1">
        <v>0</v>
      </c>
      <c r="L574" s="2">
        <v>0</v>
      </c>
      <c r="M574" s="1">
        <v>0</v>
      </c>
      <c r="N574" s="1">
        <v>0</v>
      </c>
      <c r="O574" s="1">
        <v>0</v>
      </c>
      <c r="P574" s="1">
        <v>0</v>
      </c>
      <c r="Q574" s="1">
        <f t="shared" si="351"/>
        <v>0</v>
      </c>
      <c r="R574" s="1">
        <v>0</v>
      </c>
      <c r="S574" s="1">
        <f t="shared" si="352"/>
        <v>0</v>
      </c>
      <c r="T574" s="1">
        <v>0</v>
      </c>
      <c r="U574" s="1">
        <v>50000</v>
      </c>
      <c r="V574" s="1">
        <v>0</v>
      </c>
      <c r="W574" s="1">
        <v>0</v>
      </c>
      <c r="X574" s="1">
        <v>0</v>
      </c>
      <c r="Y574" s="1">
        <v>0</v>
      </c>
      <c r="Z574" s="1">
        <v>0</v>
      </c>
      <c r="AA574" s="1">
        <v>0</v>
      </c>
      <c r="AB574" s="1">
        <v>0</v>
      </c>
      <c r="AC574" s="1">
        <v>0</v>
      </c>
      <c r="AD574" s="1">
        <v>0</v>
      </c>
    </row>
    <row r="575" spans="1:30" s="20" customFormat="1" ht="36" customHeight="1" x14ac:dyDescent="0.25">
      <c r="A575" s="2">
        <f t="shared" si="339"/>
        <v>547</v>
      </c>
      <c r="B575" s="6">
        <f t="shared" si="349"/>
        <v>547</v>
      </c>
      <c r="C575" s="19" t="s">
        <v>900</v>
      </c>
      <c r="D575" s="4">
        <f t="shared" si="344"/>
        <v>10831268.5</v>
      </c>
      <c r="E575" s="1">
        <f t="shared" si="350"/>
        <v>10781268.5</v>
      </c>
      <c r="F575" s="1">
        <f>804*2746.82</f>
        <v>2208443.2800000003</v>
      </c>
      <c r="G575" s="1">
        <f>1693*2746.82</f>
        <v>4650366.2600000007</v>
      </c>
      <c r="H575" s="1">
        <f>390*2746.82</f>
        <v>1071259.8</v>
      </c>
      <c r="I575" s="1">
        <f>571*2746.82</f>
        <v>1568434.2200000002</v>
      </c>
      <c r="J575" s="1">
        <f>467*2746.82</f>
        <v>1282764.9400000002</v>
      </c>
      <c r="K575" s="1">
        <v>0</v>
      </c>
      <c r="L575" s="2">
        <v>0</v>
      </c>
      <c r="M575" s="1">
        <v>0</v>
      </c>
      <c r="N575" s="1">
        <v>0</v>
      </c>
      <c r="O575" s="1">
        <v>0</v>
      </c>
      <c r="P575" s="1">
        <v>0</v>
      </c>
      <c r="Q575" s="1">
        <f t="shared" si="351"/>
        <v>0</v>
      </c>
      <c r="R575" s="1">
        <v>0</v>
      </c>
      <c r="S575" s="1">
        <f t="shared" si="352"/>
        <v>0</v>
      </c>
      <c r="T575" s="1">
        <v>0</v>
      </c>
      <c r="U575" s="1">
        <v>50000</v>
      </c>
      <c r="V575" s="1">
        <v>0</v>
      </c>
      <c r="W575" s="1">
        <v>0</v>
      </c>
      <c r="X575" s="1">
        <v>0</v>
      </c>
      <c r="Y575" s="1">
        <v>0</v>
      </c>
      <c r="Z575" s="1">
        <v>0</v>
      </c>
      <c r="AA575" s="1">
        <v>0</v>
      </c>
      <c r="AB575" s="1">
        <v>0</v>
      </c>
      <c r="AC575" s="1">
        <v>0</v>
      </c>
      <c r="AD575" s="1">
        <v>0</v>
      </c>
    </row>
    <row r="576" spans="1:30" s="20" customFormat="1" ht="36" customHeight="1" x14ac:dyDescent="0.25">
      <c r="A576" s="2">
        <f t="shared" si="339"/>
        <v>548</v>
      </c>
      <c r="B576" s="6">
        <f t="shared" si="349"/>
        <v>548</v>
      </c>
      <c r="C576" s="19" t="s">
        <v>901</v>
      </c>
      <c r="D576" s="4">
        <f t="shared" si="344"/>
        <v>4448500</v>
      </c>
      <c r="E576" s="1">
        <f t="shared" si="350"/>
        <v>0</v>
      </c>
      <c r="F576" s="1">
        <v>0</v>
      </c>
      <c r="G576" s="1">
        <v>0</v>
      </c>
      <c r="H576" s="1">
        <v>0</v>
      </c>
      <c r="I576" s="1">
        <v>0</v>
      </c>
      <c r="J576" s="1">
        <v>0</v>
      </c>
      <c r="K576" s="1">
        <v>0</v>
      </c>
      <c r="L576" s="2">
        <v>0</v>
      </c>
      <c r="M576" s="1">
        <v>0</v>
      </c>
      <c r="N576" s="1">
        <v>574</v>
      </c>
      <c r="O576" s="1">
        <f>N576*7750</f>
        <v>4448500</v>
      </c>
      <c r="P576" s="1">
        <v>0</v>
      </c>
      <c r="Q576" s="1">
        <f t="shared" si="351"/>
        <v>0</v>
      </c>
      <c r="R576" s="1">
        <v>0</v>
      </c>
      <c r="S576" s="1">
        <f t="shared" si="352"/>
        <v>0</v>
      </c>
      <c r="T576" s="1">
        <v>0</v>
      </c>
      <c r="U576" s="1">
        <v>0</v>
      </c>
      <c r="V576" s="1">
        <v>0</v>
      </c>
      <c r="W576" s="1">
        <v>0</v>
      </c>
      <c r="X576" s="1">
        <v>0</v>
      </c>
      <c r="Y576" s="1">
        <v>0</v>
      </c>
      <c r="Z576" s="1">
        <v>0</v>
      </c>
      <c r="AA576" s="1">
        <v>0</v>
      </c>
      <c r="AB576" s="1">
        <v>0</v>
      </c>
      <c r="AC576" s="1">
        <v>0</v>
      </c>
      <c r="AD576" s="1">
        <v>0</v>
      </c>
    </row>
    <row r="577" spans="1:30" s="20" customFormat="1" ht="36" customHeight="1" x14ac:dyDescent="0.25">
      <c r="A577" s="2">
        <f t="shared" si="339"/>
        <v>549</v>
      </c>
      <c r="B577" s="6">
        <f>A577</f>
        <v>549</v>
      </c>
      <c r="C577" s="19" t="s">
        <v>2276</v>
      </c>
      <c r="D577" s="4">
        <f t="shared" si="344"/>
        <v>10700000</v>
      </c>
      <c r="E577" s="1">
        <f>SUM(F577:K577)</f>
        <v>0</v>
      </c>
      <c r="F577" s="1">
        <v>0</v>
      </c>
      <c r="G577" s="1">
        <v>0</v>
      </c>
      <c r="H577" s="1">
        <v>0</v>
      </c>
      <c r="I577" s="1">
        <v>0</v>
      </c>
      <c r="J577" s="1">
        <v>0</v>
      </c>
      <c r="K577" s="1">
        <v>0</v>
      </c>
      <c r="L577" s="2">
        <v>3</v>
      </c>
      <c r="M577" s="1">
        <f t="shared" ref="M577" si="354">L577*3500000</f>
        <v>10500000</v>
      </c>
      <c r="N577" s="1">
        <v>0</v>
      </c>
      <c r="O577" s="1">
        <v>0</v>
      </c>
      <c r="P577" s="1">
        <v>0</v>
      </c>
      <c r="Q577" s="1">
        <f>P577*1400</f>
        <v>0</v>
      </c>
      <c r="R577" s="1">
        <v>0</v>
      </c>
      <c r="S577" s="1">
        <f>R577*3751</f>
        <v>0</v>
      </c>
      <c r="T577" s="1">
        <v>0</v>
      </c>
      <c r="U577" s="1">
        <v>200000</v>
      </c>
      <c r="V577" s="1">
        <v>0</v>
      </c>
      <c r="W577" s="1">
        <v>0</v>
      </c>
      <c r="X577" s="1">
        <v>0</v>
      </c>
      <c r="Y577" s="1">
        <v>0</v>
      </c>
      <c r="Z577" s="1">
        <v>0</v>
      </c>
      <c r="AA577" s="1">
        <v>0</v>
      </c>
      <c r="AB577" s="1">
        <v>0</v>
      </c>
      <c r="AC577" s="1">
        <v>0</v>
      </c>
      <c r="AD577" s="1">
        <v>0</v>
      </c>
    </row>
    <row r="578" spans="1:30" s="20" customFormat="1" ht="36" customHeight="1" x14ac:dyDescent="0.25">
      <c r="A578" s="2">
        <f t="shared" si="339"/>
        <v>550</v>
      </c>
      <c r="B578" s="6">
        <f>A578</f>
        <v>550</v>
      </c>
      <c r="C578" s="19" t="s">
        <v>2277</v>
      </c>
      <c r="D578" s="4">
        <f t="shared" si="344"/>
        <v>17700000</v>
      </c>
      <c r="E578" s="1">
        <f>SUM(F578:K578)</f>
        <v>0</v>
      </c>
      <c r="F578" s="1">
        <v>0</v>
      </c>
      <c r="G578" s="1">
        <v>0</v>
      </c>
      <c r="H578" s="1">
        <v>0</v>
      </c>
      <c r="I578" s="1">
        <v>0</v>
      </c>
      <c r="J578" s="1">
        <v>0</v>
      </c>
      <c r="K578" s="1">
        <v>0</v>
      </c>
      <c r="L578" s="2">
        <v>5</v>
      </c>
      <c r="M578" s="1">
        <f t="shared" ref="M578" si="355">L578*3500000</f>
        <v>17500000</v>
      </c>
      <c r="N578" s="1">
        <v>0</v>
      </c>
      <c r="O578" s="1">
        <v>0</v>
      </c>
      <c r="P578" s="1">
        <v>0</v>
      </c>
      <c r="Q578" s="1">
        <f>P578*1400</f>
        <v>0</v>
      </c>
      <c r="R578" s="1">
        <v>0</v>
      </c>
      <c r="S578" s="1">
        <f>R578*3751</f>
        <v>0</v>
      </c>
      <c r="T578" s="1">
        <v>0</v>
      </c>
      <c r="U578" s="1">
        <v>200000</v>
      </c>
      <c r="V578" s="1">
        <v>0</v>
      </c>
      <c r="W578" s="1">
        <v>0</v>
      </c>
      <c r="X578" s="1">
        <v>0</v>
      </c>
      <c r="Y578" s="1">
        <v>0</v>
      </c>
      <c r="Z578" s="1">
        <v>0</v>
      </c>
      <c r="AA578" s="1">
        <v>0</v>
      </c>
      <c r="AB578" s="1">
        <v>0</v>
      </c>
      <c r="AC578" s="1">
        <v>0</v>
      </c>
      <c r="AD578" s="1">
        <v>0</v>
      </c>
    </row>
    <row r="579" spans="1:30" s="20" customFormat="1" ht="36" customHeight="1" x14ac:dyDescent="0.25">
      <c r="A579" s="2">
        <f t="shared" si="339"/>
        <v>551</v>
      </c>
      <c r="B579" s="6">
        <f>A579</f>
        <v>551</v>
      </c>
      <c r="C579" s="19" t="s">
        <v>2278</v>
      </c>
      <c r="D579" s="4">
        <f t="shared" si="344"/>
        <v>10700000</v>
      </c>
      <c r="E579" s="1">
        <f>SUM(F579:K579)</f>
        <v>0</v>
      </c>
      <c r="F579" s="1">
        <v>0</v>
      </c>
      <c r="G579" s="1">
        <v>0</v>
      </c>
      <c r="H579" s="1">
        <v>0</v>
      </c>
      <c r="I579" s="1">
        <v>0</v>
      </c>
      <c r="J579" s="1">
        <v>0</v>
      </c>
      <c r="K579" s="1">
        <v>0</v>
      </c>
      <c r="L579" s="2">
        <v>3</v>
      </c>
      <c r="M579" s="1">
        <f t="shared" ref="M579" si="356">L579*3500000</f>
        <v>10500000</v>
      </c>
      <c r="N579" s="1">
        <v>0</v>
      </c>
      <c r="O579" s="1">
        <v>0</v>
      </c>
      <c r="P579" s="1">
        <v>0</v>
      </c>
      <c r="Q579" s="1">
        <f>P579*1400</f>
        <v>0</v>
      </c>
      <c r="R579" s="1">
        <v>0</v>
      </c>
      <c r="S579" s="1">
        <f>R579*3751</f>
        <v>0</v>
      </c>
      <c r="T579" s="1">
        <v>0</v>
      </c>
      <c r="U579" s="1">
        <v>200000</v>
      </c>
      <c r="V579" s="1">
        <v>0</v>
      </c>
      <c r="W579" s="1">
        <v>0</v>
      </c>
      <c r="X579" s="1">
        <v>0</v>
      </c>
      <c r="Y579" s="1">
        <v>0</v>
      </c>
      <c r="Z579" s="1">
        <v>0</v>
      </c>
      <c r="AA579" s="1">
        <v>0</v>
      </c>
      <c r="AB579" s="1">
        <v>0</v>
      </c>
      <c r="AC579" s="1">
        <v>0</v>
      </c>
      <c r="AD579" s="1">
        <v>0</v>
      </c>
    </row>
    <row r="580" spans="1:30" s="20" customFormat="1" ht="36" customHeight="1" x14ac:dyDescent="0.25">
      <c r="A580" s="2">
        <f t="shared" si="339"/>
        <v>552</v>
      </c>
      <c r="B580" s="6">
        <f>A580</f>
        <v>552</v>
      </c>
      <c r="C580" s="19" t="s">
        <v>2279</v>
      </c>
      <c r="D580" s="4">
        <f t="shared" si="344"/>
        <v>7200000</v>
      </c>
      <c r="E580" s="1">
        <f>SUM(F580:K580)</f>
        <v>0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0</v>
      </c>
      <c r="L580" s="2">
        <v>2</v>
      </c>
      <c r="M580" s="1">
        <f t="shared" ref="M580" si="357">L580*3500000</f>
        <v>7000000</v>
      </c>
      <c r="N580" s="1">
        <v>0</v>
      </c>
      <c r="O580" s="1">
        <v>0</v>
      </c>
      <c r="P580" s="1">
        <v>0</v>
      </c>
      <c r="Q580" s="1">
        <f>P580*1400</f>
        <v>0</v>
      </c>
      <c r="R580" s="1">
        <v>0</v>
      </c>
      <c r="S580" s="1">
        <f>R580*3751</f>
        <v>0</v>
      </c>
      <c r="T580" s="1">
        <v>0</v>
      </c>
      <c r="U580" s="1">
        <v>200000</v>
      </c>
      <c r="V580" s="1">
        <v>0</v>
      </c>
      <c r="W580" s="1">
        <v>0</v>
      </c>
      <c r="X580" s="1">
        <v>0</v>
      </c>
      <c r="Y580" s="1">
        <v>0</v>
      </c>
      <c r="Z580" s="1">
        <v>0</v>
      </c>
      <c r="AA580" s="1">
        <v>0</v>
      </c>
      <c r="AB580" s="1">
        <v>0</v>
      </c>
      <c r="AC580" s="1">
        <v>0</v>
      </c>
      <c r="AD580" s="1">
        <v>0</v>
      </c>
    </row>
    <row r="581" spans="1:30" s="20" customFormat="1" ht="36" customHeight="1" x14ac:dyDescent="0.25">
      <c r="A581" s="2">
        <f t="shared" si="339"/>
        <v>553</v>
      </c>
      <c r="B581" s="6">
        <f>A581</f>
        <v>553</v>
      </c>
      <c r="C581" s="19" t="s">
        <v>2280</v>
      </c>
      <c r="D581" s="4">
        <f t="shared" si="344"/>
        <v>3700000</v>
      </c>
      <c r="E581" s="1">
        <f>SUM(F581:K581)</f>
        <v>0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0</v>
      </c>
      <c r="L581" s="2">
        <v>1</v>
      </c>
      <c r="M581" s="1">
        <f t="shared" ref="M581" si="358">L581*3500000</f>
        <v>3500000</v>
      </c>
      <c r="N581" s="1">
        <v>0</v>
      </c>
      <c r="O581" s="1">
        <v>0</v>
      </c>
      <c r="P581" s="1">
        <v>0</v>
      </c>
      <c r="Q581" s="1">
        <f>P581*1400</f>
        <v>0</v>
      </c>
      <c r="R581" s="1">
        <v>0</v>
      </c>
      <c r="S581" s="1">
        <f>R581*3751</f>
        <v>0</v>
      </c>
      <c r="T581" s="1">
        <v>0</v>
      </c>
      <c r="U581" s="1">
        <v>200000</v>
      </c>
      <c r="V581" s="1">
        <v>0</v>
      </c>
      <c r="W581" s="1">
        <v>0</v>
      </c>
      <c r="X581" s="1">
        <v>0</v>
      </c>
      <c r="Y581" s="1">
        <v>0</v>
      </c>
      <c r="Z581" s="1">
        <v>0</v>
      </c>
      <c r="AA581" s="1">
        <v>0</v>
      </c>
      <c r="AB581" s="1">
        <v>0</v>
      </c>
      <c r="AC581" s="1">
        <v>0</v>
      </c>
      <c r="AD581" s="1">
        <v>0</v>
      </c>
    </row>
    <row r="582" spans="1:30" s="20" customFormat="1" ht="36" customHeight="1" x14ac:dyDescent="0.25">
      <c r="A582" s="2">
        <f t="shared" si="339"/>
        <v>554</v>
      </c>
      <c r="B582" s="6">
        <f t="shared" si="336"/>
        <v>554</v>
      </c>
      <c r="C582" s="19" t="s">
        <v>367</v>
      </c>
      <c r="D582" s="4">
        <f t="shared" si="344"/>
        <v>13759743.5</v>
      </c>
      <c r="E582" s="1">
        <f t="shared" si="347"/>
        <v>8783443.5</v>
      </c>
      <c r="F582" s="1">
        <f>804*2237.82</f>
        <v>1799207.28</v>
      </c>
      <c r="G582" s="1">
        <f>1693*2237.82</f>
        <v>3788629.2600000002</v>
      </c>
      <c r="H582" s="1">
        <f>390*2237.82</f>
        <v>872749.8</v>
      </c>
      <c r="I582" s="1">
        <f>571*2237.82</f>
        <v>1277795.2200000002</v>
      </c>
      <c r="J582" s="1">
        <f>467*2237.82</f>
        <v>1045061.9400000001</v>
      </c>
      <c r="K582" s="1">
        <v>0</v>
      </c>
      <c r="L582" s="2">
        <v>0</v>
      </c>
      <c r="M582" s="1">
        <f t="shared" si="348"/>
        <v>0</v>
      </c>
      <c r="N582" s="1">
        <v>0</v>
      </c>
      <c r="O582" s="1">
        <v>0</v>
      </c>
      <c r="P582" s="1">
        <v>0</v>
      </c>
      <c r="Q582" s="1">
        <f t="shared" si="345"/>
        <v>0</v>
      </c>
      <c r="R582" s="1">
        <v>1300</v>
      </c>
      <c r="S582" s="1">
        <f t="shared" si="346"/>
        <v>4876300</v>
      </c>
      <c r="T582" s="1">
        <v>0</v>
      </c>
      <c r="U582" s="1">
        <v>50000</v>
      </c>
      <c r="V582" s="1">
        <v>0</v>
      </c>
      <c r="W582" s="1">
        <v>50000</v>
      </c>
      <c r="X582" s="1">
        <v>0</v>
      </c>
      <c r="Y582" s="1">
        <v>0</v>
      </c>
      <c r="Z582" s="1">
        <v>0</v>
      </c>
      <c r="AA582" s="1">
        <v>0</v>
      </c>
      <c r="AB582" s="1">
        <v>0</v>
      </c>
      <c r="AC582" s="1">
        <v>0</v>
      </c>
      <c r="AD582" s="1">
        <v>0</v>
      </c>
    </row>
    <row r="583" spans="1:30" s="20" customFormat="1" ht="36" customHeight="1" x14ac:dyDescent="0.25">
      <c r="A583" s="2">
        <f t="shared" si="339"/>
        <v>555</v>
      </c>
      <c r="B583" s="6">
        <f t="shared" si="336"/>
        <v>555</v>
      </c>
      <c r="C583" s="19" t="s">
        <v>368</v>
      </c>
      <c r="D583" s="4">
        <f t="shared" si="344"/>
        <v>20618725.25</v>
      </c>
      <c r="E583" s="1">
        <f t="shared" si="347"/>
        <v>13391825.249999998</v>
      </c>
      <c r="F583" s="1">
        <f>804*3411.93</f>
        <v>2743191.7199999997</v>
      </c>
      <c r="G583" s="1">
        <f>1693*3411.93</f>
        <v>5776397.4899999993</v>
      </c>
      <c r="H583" s="1">
        <f>390*3411.93</f>
        <v>1330652.7</v>
      </c>
      <c r="I583" s="1">
        <f>571*3411.93</f>
        <v>1948212.0299999998</v>
      </c>
      <c r="J583" s="1">
        <f>467*3411.93</f>
        <v>1593371.3099999998</v>
      </c>
      <c r="K583" s="1">
        <v>0</v>
      </c>
      <c r="L583" s="2">
        <v>0</v>
      </c>
      <c r="M583" s="1">
        <f t="shared" si="348"/>
        <v>0</v>
      </c>
      <c r="N583" s="1">
        <v>0</v>
      </c>
      <c r="O583" s="1">
        <v>0</v>
      </c>
      <c r="P583" s="1">
        <v>0</v>
      </c>
      <c r="Q583" s="1">
        <f t="shared" si="345"/>
        <v>0</v>
      </c>
      <c r="R583" s="1">
        <v>1900</v>
      </c>
      <c r="S583" s="1">
        <f t="shared" si="346"/>
        <v>7126900</v>
      </c>
      <c r="T583" s="1">
        <v>0</v>
      </c>
      <c r="U583" s="1">
        <v>50000</v>
      </c>
      <c r="V583" s="1">
        <v>0</v>
      </c>
      <c r="W583" s="1">
        <v>50000</v>
      </c>
      <c r="X583" s="1">
        <v>0</v>
      </c>
      <c r="Y583" s="1">
        <v>0</v>
      </c>
      <c r="Z583" s="1">
        <v>0</v>
      </c>
      <c r="AA583" s="1">
        <v>0</v>
      </c>
      <c r="AB583" s="1">
        <v>0</v>
      </c>
      <c r="AC583" s="1">
        <v>0</v>
      </c>
      <c r="AD583" s="1">
        <v>0</v>
      </c>
    </row>
    <row r="584" spans="1:30" s="20" customFormat="1" ht="36" customHeight="1" x14ac:dyDescent="0.25">
      <c r="A584" s="2">
        <f t="shared" si="339"/>
        <v>556</v>
      </c>
      <c r="B584" s="6">
        <f t="shared" ref="B584:B592" si="359">A584</f>
        <v>556</v>
      </c>
      <c r="C584" s="19" t="s">
        <v>2281</v>
      </c>
      <c r="D584" s="4">
        <f t="shared" si="344"/>
        <v>3700000</v>
      </c>
      <c r="E584" s="1">
        <f t="shared" ref="E584:E591" si="360">SUM(F584:K584)</f>
        <v>0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2">
        <v>1</v>
      </c>
      <c r="M584" s="1">
        <f t="shared" si="348"/>
        <v>3500000</v>
      </c>
      <c r="N584" s="1">
        <v>0</v>
      </c>
      <c r="O584" s="1">
        <v>0</v>
      </c>
      <c r="P584" s="1">
        <v>0</v>
      </c>
      <c r="Q584" s="1">
        <f t="shared" ref="Q584:Q591" si="361">P584*1400</f>
        <v>0</v>
      </c>
      <c r="R584" s="1">
        <v>0</v>
      </c>
      <c r="S584" s="1">
        <f t="shared" ref="S584:S591" si="362">R584*3751</f>
        <v>0</v>
      </c>
      <c r="T584" s="1">
        <v>0</v>
      </c>
      <c r="U584" s="1">
        <v>200000</v>
      </c>
      <c r="V584" s="1">
        <v>0</v>
      </c>
      <c r="W584" s="1">
        <v>0</v>
      </c>
      <c r="X584" s="1">
        <v>0</v>
      </c>
      <c r="Y584" s="1">
        <v>0</v>
      </c>
      <c r="Z584" s="1">
        <v>0</v>
      </c>
      <c r="AA584" s="1">
        <v>0</v>
      </c>
      <c r="AB584" s="1">
        <v>0</v>
      </c>
      <c r="AC584" s="1">
        <v>0</v>
      </c>
      <c r="AD584" s="1">
        <v>0</v>
      </c>
    </row>
    <row r="585" spans="1:30" s="20" customFormat="1" ht="36" customHeight="1" x14ac:dyDescent="0.25">
      <c r="A585" s="2">
        <f t="shared" si="339"/>
        <v>557</v>
      </c>
      <c r="B585" s="6">
        <f t="shared" si="359"/>
        <v>557</v>
      </c>
      <c r="C585" s="19" t="s">
        <v>905</v>
      </c>
      <c r="D585" s="4">
        <f t="shared" si="344"/>
        <v>9890546.8999999985</v>
      </c>
      <c r="E585" s="1">
        <f t="shared" si="360"/>
        <v>6120546.8999999994</v>
      </c>
      <c r="F585" s="1">
        <f>804*1824.85</f>
        <v>1467179.4</v>
      </c>
      <c r="G585" s="1">
        <f>1693*1824.85</f>
        <v>3089471.05</v>
      </c>
      <c r="H585" s="1">
        <f>390*1824.85</f>
        <v>711691.5</v>
      </c>
      <c r="I585" s="1">
        <v>0</v>
      </c>
      <c r="J585" s="1">
        <f>467*1824.85</f>
        <v>852204.95</v>
      </c>
      <c r="K585" s="1">
        <v>0</v>
      </c>
      <c r="L585" s="2">
        <v>0</v>
      </c>
      <c r="M585" s="1">
        <v>0</v>
      </c>
      <c r="N585" s="1">
        <v>480</v>
      </c>
      <c r="O585" s="1">
        <f>N585*7750</f>
        <v>3720000</v>
      </c>
      <c r="P585" s="1">
        <v>0</v>
      </c>
      <c r="Q585" s="1">
        <f t="shared" si="361"/>
        <v>0</v>
      </c>
      <c r="R585" s="1">
        <v>0</v>
      </c>
      <c r="S585" s="1">
        <f t="shared" si="362"/>
        <v>0</v>
      </c>
      <c r="T585" s="1">
        <v>0</v>
      </c>
      <c r="U585" s="1">
        <v>50000</v>
      </c>
      <c r="V585" s="1">
        <v>0</v>
      </c>
      <c r="W585" s="1">
        <v>0</v>
      </c>
      <c r="X585" s="1">
        <v>0</v>
      </c>
      <c r="Y585" s="1">
        <v>0</v>
      </c>
      <c r="Z585" s="1">
        <v>0</v>
      </c>
      <c r="AA585" s="1">
        <v>0</v>
      </c>
      <c r="AB585" s="1">
        <v>0</v>
      </c>
      <c r="AC585" s="1">
        <v>0</v>
      </c>
      <c r="AD585" s="1">
        <v>0</v>
      </c>
    </row>
    <row r="586" spans="1:30" s="20" customFormat="1" ht="36" customHeight="1" x14ac:dyDescent="0.25">
      <c r="A586" s="2">
        <f t="shared" si="339"/>
        <v>558</v>
      </c>
      <c r="B586" s="6">
        <f t="shared" si="359"/>
        <v>558</v>
      </c>
      <c r="C586" s="19" t="s">
        <v>2282</v>
      </c>
      <c r="D586" s="4">
        <f t="shared" si="344"/>
        <v>3700000</v>
      </c>
      <c r="E586" s="1">
        <f t="shared" si="360"/>
        <v>0</v>
      </c>
      <c r="F586" s="1">
        <v>0</v>
      </c>
      <c r="G586" s="1">
        <v>0</v>
      </c>
      <c r="H586" s="1">
        <v>0</v>
      </c>
      <c r="I586" s="1">
        <v>0</v>
      </c>
      <c r="J586" s="1">
        <v>0</v>
      </c>
      <c r="K586" s="1">
        <v>0</v>
      </c>
      <c r="L586" s="2">
        <v>1</v>
      </c>
      <c r="M586" s="1">
        <f t="shared" ref="M586:M590" si="363">L586*3500000</f>
        <v>3500000</v>
      </c>
      <c r="N586" s="1">
        <v>0</v>
      </c>
      <c r="O586" s="1">
        <v>0</v>
      </c>
      <c r="P586" s="1">
        <v>0</v>
      </c>
      <c r="Q586" s="1">
        <f t="shared" si="361"/>
        <v>0</v>
      </c>
      <c r="R586" s="1">
        <v>0</v>
      </c>
      <c r="S586" s="1">
        <f t="shared" si="362"/>
        <v>0</v>
      </c>
      <c r="T586" s="1">
        <v>0</v>
      </c>
      <c r="U586" s="1">
        <v>200000</v>
      </c>
      <c r="V586" s="1">
        <v>0</v>
      </c>
      <c r="W586" s="1">
        <v>0</v>
      </c>
      <c r="X586" s="1">
        <v>0</v>
      </c>
      <c r="Y586" s="1">
        <v>0</v>
      </c>
      <c r="Z586" s="1">
        <v>0</v>
      </c>
      <c r="AA586" s="1">
        <v>0</v>
      </c>
      <c r="AB586" s="1">
        <v>0</v>
      </c>
      <c r="AC586" s="1">
        <v>0</v>
      </c>
      <c r="AD586" s="1">
        <v>0</v>
      </c>
    </row>
    <row r="587" spans="1:30" s="20" customFormat="1" ht="36" customHeight="1" x14ac:dyDescent="0.25">
      <c r="A587" s="2">
        <f t="shared" si="339"/>
        <v>559</v>
      </c>
      <c r="B587" s="2">
        <f t="shared" si="359"/>
        <v>559</v>
      </c>
      <c r="C587" s="19" t="s">
        <v>1452</v>
      </c>
      <c r="D587" s="39">
        <f t="shared" si="344"/>
        <v>7200000</v>
      </c>
      <c r="E587" s="1">
        <f t="shared" si="360"/>
        <v>0</v>
      </c>
      <c r="F587" s="1">
        <v>0</v>
      </c>
      <c r="G587" s="1">
        <v>0</v>
      </c>
      <c r="H587" s="1">
        <v>0</v>
      </c>
      <c r="I587" s="1">
        <v>0</v>
      </c>
      <c r="J587" s="1">
        <v>0</v>
      </c>
      <c r="K587" s="1">
        <v>0</v>
      </c>
      <c r="L587" s="2">
        <v>2</v>
      </c>
      <c r="M587" s="1">
        <f t="shared" si="363"/>
        <v>7000000</v>
      </c>
      <c r="N587" s="1">
        <v>0</v>
      </c>
      <c r="O587" s="1">
        <v>0</v>
      </c>
      <c r="P587" s="1">
        <v>0</v>
      </c>
      <c r="Q587" s="1">
        <f t="shared" si="361"/>
        <v>0</v>
      </c>
      <c r="R587" s="1">
        <v>0</v>
      </c>
      <c r="S587" s="1">
        <f t="shared" si="362"/>
        <v>0</v>
      </c>
      <c r="T587" s="1">
        <v>0</v>
      </c>
      <c r="U587" s="1">
        <v>200000</v>
      </c>
      <c r="V587" s="1">
        <v>0</v>
      </c>
      <c r="W587" s="1">
        <v>0</v>
      </c>
      <c r="X587" s="1">
        <v>0</v>
      </c>
      <c r="Y587" s="1">
        <v>0</v>
      </c>
      <c r="Z587" s="1">
        <v>0</v>
      </c>
      <c r="AA587" s="1">
        <v>0</v>
      </c>
      <c r="AB587" s="1">
        <v>0</v>
      </c>
      <c r="AC587" s="1">
        <v>0</v>
      </c>
      <c r="AD587" s="1">
        <v>0</v>
      </c>
    </row>
    <row r="588" spans="1:30" s="20" customFormat="1" ht="36" customHeight="1" x14ac:dyDescent="0.25">
      <c r="A588" s="2">
        <f t="shared" si="339"/>
        <v>560</v>
      </c>
      <c r="B588" s="2">
        <f t="shared" ref="B588" si="364">A588</f>
        <v>560</v>
      </c>
      <c r="C588" s="19" t="s">
        <v>907</v>
      </c>
      <c r="D588" s="39">
        <f t="shared" si="344"/>
        <v>3937000</v>
      </c>
      <c r="E588" s="1">
        <f t="shared" ref="E588" si="365">SUM(F588:K588)</f>
        <v>0</v>
      </c>
      <c r="F588" s="1">
        <v>0</v>
      </c>
      <c r="G588" s="1">
        <v>0</v>
      </c>
      <c r="H588" s="1">
        <v>0</v>
      </c>
      <c r="I588" s="1">
        <v>0</v>
      </c>
      <c r="J588" s="1">
        <v>0</v>
      </c>
      <c r="K588" s="1">
        <v>0</v>
      </c>
      <c r="L588" s="2">
        <v>0</v>
      </c>
      <c r="M588" s="1">
        <v>0</v>
      </c>
      <c r="N588" s="1">
        <v>508</v>
      </c>
      <c r="O588" s="1">
        <f>N588*7750</f>
        <v>3937000</v>
      </c>
      <c r="P588" s="1">
        <v>0</v>
      </c>
      <c r="Q588" s="1">
        <f t="shared" ref="Q588" si="366">P588*1400</f>
        <v>0</v>
      </c>
      <c r="R588" s="1">
        <v>0</v>
      </c>
      <c r="S588" s="1">
        <f t="shared" ref="S588" si="367">R588*3751</f>
        <v>0</v>
      </c>
      <c r="T588" s="1">
        <v>0</v>
      </c>
      <c r="U588" s="1">
        <v>0</v>
      </c>
      <c r="V588" s="1">
        <v>0</v>
      </c>
      <c r="W588" s="1">
        <v>0</v>
      </c>
      <c r="X588" s="1">
        <v>0</v>
      </c>
      <c r="Y588" s="1">
        <v>0</v>
      </c>
      <c r="Z588" s="1">
        <v>0</v>
      </c>
      <c r="AA588" s="1">
        <v>0</v>
      </c>
      <c r="AB588" s="1">
        <v>0</v>
      </c>
      <c r="AC588" s="1">
        <v>0</v>
      </c>
      <c r="AD588" s="1">
        <v>0</v>
      </c>
    </row>
    <row r="589" spans="1:30" s="20" customFormat="1" ht="36" customHeight="1" x14ac:dyDescent="0.25">
      <c r="A589" s="2">
        <f t="shared" si="339"/>
        <v>561</v>
      </c>
      <c r="B589" s="6">
        <f t="shared" si="359"/>
        <v>561</v>
      </c>
      <c r="C589" s="19" t="s">
        <v>2283</v>
      </c>
      <c r="D589" s="4">
        <f t="shared" si="344"/>
        <v>3700000</v>
      </c>
      <c r="E589" s="1">
        <f t="shared" si="360"/>
        <v>0</v>
      </c>
      <c r="F589" s="1">
        <v>0</v>
      </c>
      <c r="G589" s="1">
        <v>0</v>
      </c>
      <c r="H589" s="1">
        <v>0</v>
      </c>
      <c r="I589" s="1">
        <v>0</v>
      </c>
      <c r="J589" s="1">
        <v>0</v>
      </c>
      <c r="K589" s="1">
        <v>0</v>
      </c>
      <c r="L589" s="2">
        <v>1</v>
      </c>
      <c r="M589" s="1">
        <f t="shared" si="363"/>
        <v>3500000</v>
      </c>
      <c r="N589" s="1">
        <v>0</v>
      </c>
      <c r="O589" s="1">
        <v>0</v>
      </c>
      <c r="P589" s="1">
        <v>0</v>
      </c>
      <c r="Q589" s="1">
        <f t="shared" si="361"/>
        <v>0</v>
      </c>
      <c r="R589" s="1">
        <v>0</v>
      </c>
      <c r="S589" s="1">
        <f t="shared" si="362"/>
        <v>0</v>
      </c>
      <c r="T589" s="1">
        <v>0</v>
      </c>
      <c r="U589" s="1">
        <v>200000</v>
      </c>
      <c r="V589" s="1">
        <v>0</v>
      </c>
      <c r="W589" s="1">
        <v>0</v>
      </c>
      <c r="X589" s="1">
        <v>0</v>
      </c>
      <c r="Y589" s="1">
        <v>0</v>
      </c>
      <c r="Z589" s="1">
        <v>0</v>
      </c>
      <c r="AA589" s="1">
        <v>0</v>
      </c>
      <c r="AB589" s="1">
        <v>0</v>
      </c>
      <c r="AC589" s="1">
        <v>0</v>
      </c>
      <c r="AD589" s="1">
        <v>0</v>
      </c>
    </row>
    <row r="590" spans="1:30" s="20" customFormat="1" ht="36" customHeight="1" x14ac:dyDescent="0.25">
      <c r="A590" s="2">
        <f t="shared" si="339"/>
        <v>562</v>
      </c>
      <c r="B590" s="6">
        <f t="shared" si="359"/>
        <v>562</v>
      </c>
      <c r="C590" s="19" t="s">
        <v>2284</v>
      </c>
      <c r="D590" s="4">
        <f t="shared" si="344"/>
        <v>7200000</v>
      </c>
      <c r="E590" s="1">
        <f t="shared" si="360"/>
        <v>0</v>
      </c>
      <c r="F590" s="1">
        <v>0</v>
      </c>
      <c r="G590" s="1">
        <v>0</v>
      </c>
      <c r="H590" s="1">
        <v>0</v>
      </c>
      <c r="I590" s="1">
        <v>0</v>
      </c>
      <c r="J590" s="1">
        <v>0</v>
      </c>
      <c r="K590" s="1">
        <v>0</v>
      </c>
      <c r="L590" s="2">
        <v>2</v>
      </c>
      <c r="M590" s="1">
        <f t="shared" si="363"/>
        <v>7000000</v>
      </c>
      <c r="N590" s="1">
        <v>0</v>
      </c>
      <c r="O590" s="1">
        <v>0</v>
      </c>
      <c r="P590" s="1">
        <v>0</v>
      </c>
      <c r="Q590" s="1">
        <f t="shared" si="361"/>
        <v>0</v>
      </c>
      <c r="R590" s="1">
        <v>0</v>
      </c>
      <c r="S590" s="1">
        <f t="shared" si="362"/>
        <v>0</v>
      </c>
      <c r="T590" s="1">
        <v>0</v>
      </c>
      <c r="U590" s="1">
        <v>200000</v>
      </c>
      <c r="V590" s="1">
        <v>0</v>
      </c>
      <c r="W590" s="1">
        <v>0</v>
      </c>
      <c r="X590" s="1">
        <v>0</v>
      </c>
      <c r="Y590" s="1">
        <v>0</v>
      </c>
      <c r="Z590" s="1">
        <v>0</v>
      </c>
      <c r="AA590" s="1">
        <v>0</v>
      </c>
      <c r="AB590" s="1">
        <v>0</v>
      </c>
      <c r="AC590" s="1">
        <v>0</v>
      </c>
      <c r="AD590" s="1">
        <v>0</v>
      </c>
    </row>
    <row r="591" spans="1:30" s="20" customFormat="1" ht="36" customHeight="1" x14ac:dyDescent="0.25">
      <c r="A591" s="2">
        <f t="shared" si="339"/>
        <v>563</v>
      </c>
      <c r="B591" s="6">
        <f t="shared" si="359"/>
        <v>563</v>
      </c>
      <c r="C591" s="19" t="s">
        <v>2285</v>
      </c>
      <c r="D591" s="4">
        <f t="shared" si="344"/>
        <v>17700000</v>
      </c>
      <c r="E591" s="1">
        <f t="shared" si="360"/>
        <v>0</v>
      </c>
      <c r="F591" s="1">
        <v>0</v>
      </c>
      <c r="G591" s="1">
        <v>0</v>
      </c>
      <c r="H591" s="1">
        <v>0</v>
      </c>
      <c r="I591" s="1">
        <v>0</v>
      </c>
      <c r="J591" s="1">
        <v>0</v>
      </c>
      <c r="K591" s="1">
        <v>0</v>
      </c>
      <c r="L591" s="2">
        <v>5</v>
      </c>
      <c r="M591" s="1">
        <f t="shared" ref="M591" si="368">L591*3500000</f>
        <v>17500000</v>
      </c>
      <c r="N591" s="1">
        <v>0</v>
      </c>
      <c r="O591" s="1">
        <v>0</v>
      </c>
      <c r="P591" s="1">
        <v>0</v>
      </c>
      <c r="Q591" s="1">
        <f t="shared" si="361"/>
        <v>0</v>
      </c>
      <c r="R591" s="1">
        <v>0</v>
      </c>
      <c r="S591" s="1">
        <f t="shared" si="362"/>
        <v>0</v>
      </c>
      <c r="T591" s="1">
        <v>0</v>
      </c>
      <c r="U591" s="1">
        <v>200000</v>
      </c>
      <c r="V591" s="1">
        <v>0</v>
      </c>
      <c r="W591" s="1">
        <v>0</v>
      </c>
      <c r="X591" s="1">
        <v>0</v>
      </c>
      <c r="Y591" s="1">
        <v>0</v>
      </c>
      <c r="Z591" s="1">
        <v>0</v>
      </c>
      <c r="AA591" s="1">
        <v>0</v>
      </c>
      <c r="AB591" s="1">
        <v>0</v>
      </c>
      <c r="AC591" s="1">
        <v>0</v>
      </c>
      <c r="AD591" s="1">
        <v>0</v>
      </c>
    </row>
    <row r="592" spans="1:30" s="20" customFormat="1" ht="36" customHeight="1" x14ac:dyDescent="0.25">
      <c r="A592" s="2">
        <f t="shared" si="339"/>
        <v>564</v>
      </c>
      <c r="B592" s="6">
        <f t="shared" si="359"/>
        <v>564</v>
      </c>
      <c r="C592" s="19" t="s">
        <v>1752</v>
      </c>
      <c r="D592" s="4">
        <f t="shared" si="344"/>
        <v>10700000</v>
      </c>
      <c r="E592" s="1">
        <f t="shared" si="347"/>
        <v>0</v>
      </c>
      <c r="F592" s="1">
        <v>0</v>
      </c>
      <c r="G592" s="1">
        <v>0</v>
      </c>
      <c r="H592" s="1">
        <v>0</v>
      </c>
      <c r="I592" s="1">
        <v>0</v>
      </c>
      <c r="J592" s="1">
        <v>0</v>
      </c>
      <c r="K592" s="1">
        <v>0</v>
      </c>
      <c r="L592" s="2">
        <v>3</v>
      </c>
      <c r="M592" s="1">
        <f t="shared" si="348"/>
        <v>10500000</v>
      </c>
      <c r="N592" s="1">
        <v>0</v>
      </c>
      <c r="O592" s="1">
        <v>0</v>
      </c>
      <c r="P592" s="1">
        <v>0</v>
      </c>
      <c r="Q592" s="1">
        <f t="shared" si="345"/>
        <v>0</v>
      </c>
      <c r="R592" s="1">
        <v>0</v>
      </c>
      <c r="S592" s="1">
        <f t="shared" si="346"/>
        <v>0</v>
      </c>
      <c r="T592" s="1">
        <v>0</v>
      </c>
      <c r="U592" s="1">
        <v>200000</v>
      </c>
      <c r="V592" s="1">
        <v>0</v>
      </c>
      <c r="W592" s="1">
        <v>0</v>
      </c>
      <c r="X592" s="1">
        <v>0</v>
      </c>
      <c r="Y592" s="1">
        <v>0</v>
      </c>
      <c r="Z592" s="1">
        <v>0</v>
      </c>
      <c r="AA592" s="1">
        <v>0</v>
      </c>
      <c r="AB592" s="1">
        <v>0</v>
      </c>
      <c r="AC592" s="1">
        <v>0</v>
      </c>
      <c r="AD592" s="1">
        <v>0</v>
      </c>
    </row>
    <row r="593" spans="1:30" s="20" customFormat="1" ht="36" customHeight="1" x14ac:dyDescent="0.25">
      <c r="A593" s="2">
        <f t="shared" si="339"/>
        <v>565</v>
      </c>
      <c r="B593" s="6">
        <f t="shared" si="336"/>
        <v>565</v>
      </c>
      <c r="C593" s="19" t="s">
        <v>369</v>
      </c>
      <c r="D593" s="4">
        <f t="shared" si="344"/>
        <v>3351769.9000000004</v>
      </c>
      <c r="E593" s="1">
        <f t="shared" si="347"/>
        <v>3251769.9000000004</v>
      </c>
      <c r="F593" s="1">
        <v>0</v>
      </c>
      <c r="G593" s="1">
        <f>1693*1041.9</f>
        <v>1763936.7000000002</v>
      </c>
      <c r="H593" s="1">
        <f>390*1041.9</f>
        <v>406341.00000000006</v>
      </c>
      <c r="I593" s="1">
        <f>571*1041.9</f>
        <v>594924.9</v>
      </c>
      <c r="J593" s="1">
        <f>467*1041.9</f>
        <v>486567.30000000005</v>
      </c>
      <c r="K593" s="1">
        <v>0</v>
      </c>
      <c r="L593" s="2">
        <v>0</v>
      </c>
      <c r="M593" s="1">
        <f t="shared" si="348"/>
        <v>0</v>
      </c>
      <c r="N593" s="1">
        <v>0</v>
      </c>
      <c r="O593" s="1">
        <v>0</v>
      </c>
      <c r="P593" s="1">
        <v>0</v>
      </c>
      <c r="Q593" s="1">
        <f t="shared" si="345"/>
        <v>0</v>
      </c>
      <c r="R593" s="1">
        <v>0</v>
      </c>
      <c r="S593" s="1">
        <f t="shared" si="346"/>
        <v>0</v>
      </c>
      <c r="T593" s="1">
        <v>0</v>
      </c>
      <c r="U593" s="1">
        <v>50000</v>
      </c>
      <c r="V593" s="1">
        <v>0</v>
      </c>
      <c r="W593" s="1">
        <v>50000</v>
      </c>
      <c r="X593" s="1">
        <v>0</v>
      </c>
      <c r="Y593" s="1">
        <v>0</v>
      </c>
      <c r="Z593" s="1">
        <v>0</v>
      </c>
      <c r="AA593" s="1">
        <v>0</v>
      </c>
      <c r="AB593" s="1">
        <v>0</v>
      </c>
      <c r="AC593" s="1">
        <v>0</v>
      </c>
      <c r="AD593" s="1">
        <v>0</v>
      </c>
    </row>
    <row r="594" spans="1:30" s="20" customFormat="1" ht="36" customHeight="1" x14ac:dyDescent="0.25">
      <c r="A594" s="2">
        <f t="shared" si="339"/>
        <v>566</v>
      </c>
      <c r="B594" s="6">
        <f t="shared" si="336"/>
        <v>566</v>
      </c>
      <c r="C594" s="19" t="s">
        <v>370</v>
      </c>
      <c r="D594" s="4">
        <f t="shared" si="344"/>
        <v>18258279.25</v>
      </c>
      <c r="E594" s="1">
        <f t="shared" si="347"/>
        <v>8394829.25</v>
      </c>
      <c r="F594" s="1">
        <f>804*2138.81</f>
        <v>1719603.24</v>
      </c>
      <c r="G594" s="1">
        <f>1693*2138.81</f>
        <v>3621005.33</v>
      </c>
      <c r="H594" s="1">
        <f>390*2138.81</f>
        <v>834135.9</v>
      </c>
      <c r="I594" s="1">
        <f>571*2138.81</f>
        <v>1221260.51</v>
      </c>
      <c r="J594" s="1">
        <f>467*2138.81</f>
        <v>998824.27</v>
      </c>
      <c r="K594" s="1">
        <v>0</v>
      </c>
      <c r="L594" s="2">
        <v>0</v>
      </c>
      <c r="M594" s="1">
        <f t="shared" si="348"/>
        <v>0</v>
      </c>
      <c r="N594" s="1">
        <v>800</v>
      </c>
      <c r="O594" s="1">
        <f>N594*7750</f>
        <v>6200000</v>
      </c>
      <c r="P594" s="1">
        <v>0</v>
      </c>
      <c r="Q594" s="1">
        <f t="shared" si="345"/>
        <v>0</v>
      </c>
      <c r="R594" s="1">
        <v>950</v>
      </c>
      <c r="S594" s="1">
        <f t="shared" si="346"/>
        <v>3563450</v>
      </c>
      <c r="T594" s="1">
        <v>0</v>
      </c>
      <c r="U594" s="1">
        <v>50000</v>
      </c>
      <c r="V594" s="1">
        <v>0</v>
      </c>
      <c r="W594" s="1">
        <v>50000</v>
      </c>
      <c r="X594" s="1">
        <v>0</v>
      </c>
      <c r="Y594" s="1">
        <v>0</v>
      </c>
      <c r="Z594" s="1">
        <v>0</v>
      </c>
      <c r="AA594" s="1">
        <v>0</v>
      </c>
      <c r="AB594" s="1">
        <v>0</v>
      </c>
      <c r="AC594" s="1">
        <v>0</v>
      </c>
      <c r="AD594" s="1">
        <v>0</v>
      </c>
    </row>
    <row r="595" spans="1:30" s="20" customFormat="1" ht="36" customHeight="1" x14ac:dyDescent="0.25">
      <c r="A595" s="2">
        <f t="shared" si="339"/>
        <v>567</v>
      </c>
      <c r="B595" s="6">
        <f t="shared" si="336"/>
        <v>567</v>
      </c>
      <c r="C595" s="30" t="s">
        <v>371</v>
      </c>
      <c r="D595" s="4">
        <f t="shared" si="344"/>
        <v>21740134.25</v>
      </c>
      <c r="E595" s="1">
        <f t="shared" si="347"/>
        <v>21640134.25</v>
      </c>
      <c r="F595" s="1">
        <f>804*5513.41</f>
        <v>4432781.6399999997</v>
      </c>
      <c r="G595" s="1">
        <f>1693*5513.41</f>
        <v>9334203.129999999</v>
      </c>
      <c r="H595" s="1">
        <f>390*5513.41</f>
        <v>2150229.9</v>
      </c>
      <c r="I595" s="1">
        <f>571*5513.41</f>
        <v>3148157.11</v>
      </c>
      <c r="J595" s="1">
        <f>467*5513.41</f>
        <v>2574762.4699999997</v>
      </c>
      <c r="K595" s="1">
        <v>0</v>
      </c>
      <c r="L595" s="2">
        <v>0</v>
      </c>
      <c r="M595" s="1">
        <f t="shared" si="348"/>
        <v>0</v>
      </c>
      <c r="N595" s="1">
        <v>0</v>
      </c>
      <c r="O595" s="1">
        <v>0</v>
      </c>
      <c r="P595" s="1">
        <v>0</v>
      </c>
      <c r="Q595" s="1">
        <f t="shared" si="345"/>
        <v>0</v>
      </c>
      <c r="R595" s="1">
        <v>0</v>
      </c>
      <c r="S595" s="1">
        <f t="shared" si="346"/>
        <v>0</v>
      </c>
      <c r="T595" s="1">
        <v>0</v>
      </c>
      <c r="U595" s="1">
        <v>50000</v>
      </c>
      <c r="V595" s="1">
        <v>0</v>
      </c>
      <c r="W595" s="1">
        <v>50000</v>
      </c>
      <c r="X595" s="1">
        <v>0</v>
      </c>
      <c r="Y595" s="1">
        <v>0</v>
      </c>
      <c r="Z595" s="1">
        <v>0</v>
      </c>
      <c r="AA595" s="1">
        <v>0</v>
      </c>
      <c r="AB595" s="1">
        <v>0</v>
      </c>
      <c r="AC595" s="1">
        <v>0</v>
      </c>
      <c r="AD595" s="1">
        <v>0</v>
      </c>
    </row>
    <row r="596" spans="1:30" s="20" customFormat="1" ht="36" customHeight="1" x14ac:dyDescent="0.25">
      <c r="A596" s="2">
        <f t="shared" si="339"/>
        <v>568</v>
      </c>
      <c r="B596" s="6">
        <f t="shared" si="336"/>
        <v>568</v>
      </c>
      <c r="C596" s="30" t="s">
        <v>372</v>
      </c>
      <c r="D596" s="4">
        <f t="shared" si="344"/>
        <v>8418252.5</v>
      </c>
      <c r="E596" s="1">
        <f t="shared" si="347"/>
        <v>8318252.5</v>
      </c>
      <c r="F596" s="1">
        <f>804*2119.3</f>
        <v>1703917.2000000002</v>
      </c>
      <c r="G596" s="1">
        <f>1693*2119.3</f>
        <v>3587974.9000000004</v>
      </c>
      <c r="H596" s="1">
        <f>390*2119.3</f>
        <v>826527.00000000012</v>
      </c>
      <c r="I596" s="1">
        <f>571*2119.3</f>
        <v>1210120.3</v>
      </c>
      <c r="J596" s="1">
        <f>467*2119.3</f>
        <v>989713.10000000009</v>
      </c>
      <c r="K596" s="1">
        <v>0</v>
      </c>
      <c r="L596" s="2">
        <v>0</v>
      </c>
      <c r="M596" s="1">
        <f t="shared" si="348"/>
        <v>0</v>
      </c>
      <c r="N596" s="1">
        <v>0</v>
      </c>
      <c r="O596" s="1">
        <v>0</v>
      </c>
      <c r="P596" s="1">
        <v>0</v>
      </c>
      <c r="Q596" s="1">
        <f t="shared" si="345"/>
        <v>0</v>
      </c>
      <c r="R596" s="1">
        <v>0</v>
      </c>
      <c r="S596" s="1">
        <f t="shared" si="346"/>
        <v>0</v>
      </c>
      <c r="T596" s="1">
        <v>0</v>
      </c>
      <c r="U596" s="1">
        <v>50000</v>
      </c>
      <c r="V596" s="1">
        <v>0</v>
      </c>
      <c r="W596" s="1">
        <v>50000</v>
      </c>
      <c r="X596" s="1">
        <v>0</v>
      </c>
      <c r="Y596" s="1">
        <v>0</v>
      </c>
      <c r="Z596" s="1">
        <v>0</v>
      </c>
      <c r="AA596" s="1">
        <v>0</v>
      </c>
      <c r="AB596" s="1">
        <v>0</v>
      </c>
      <c r="AC596" s="1">
        <v>0</v>
      </c>
      <c r="AD596" s="1">
        <v>0</v>
      </c>
    </row>
    <row r="597" spans="1:30" s="20" customFormat="1" ht="36" customHeight="1" x14ac:dyDescent="0.25">
      <c r="A597" s="2">
        <f t="shared" si="339"/>
        <v>569</v>
      </c>
      <c r="B597" s="6">
        <f t="shared" si="336"/>
        <v>569</v>
      </c>
      <c r="C597" s="19" t="s">
        <v>373</v>
      </c>
      <c r="D597" s="4">
        <f t="shared" si="344"/>
        <v>5972656</v>
      </c>
      <c r="E597" s="1">
        <f t="shared" si="347"/>
        <v>3359485.9999999995</v>
      </c>
      <c r="F597" s="1">
        <f>804*855.92</f>
        <v>688159.67999999993</v>
      </c>
      <c r="G597" s="1">
        <f>1693*855.92</f>
        <v>1449072.5599999998</v>
      </c>
      <c r="H597" s="1">
        <f>390*855.92</f>
        <v>333808.8</v>
      </c>
      <c r="I597" s="1">
        <f>571*855.92</f>
        <v>488730.31999999995</v>
      </c>
      <c r="J597" s="1">
        <f>467*855.92</f>
        <v>399714.63999999996</v>
      </c>
      <c r="K597" s="1">
        <v>0</v>
      </c>
      <c r="L597" s="2">
        <v>0</v>
      </c>
      <c r="M597" s="1">
        <f t="shared" si="348"/>
        <v>0</v>
      </c>
      <c r="N597" s="1">
        <v>0</v>
      </c>
      <c r="O597" s="1">
        <v>0</v>
      </c>
      <c r="P597" s="1">
        <v>0</v>
      </c>
      <c r="Q597" s="1">
        <f t="shared" si="345"/>
        <v>0</v>
      </c>
      <c r="R597" s="1">
        <v>670</v>
      </c>
      <c r="S597" s="1">
        <f t="shared" si="346"/>
        <v>2513170</v>
      </c>
      <c r="T597" s="1">
        <v>0</v>
      </c>
      <c r="U597" s="1">
        <v>50000</v>
      </c>
      <c r="V597" s="1">
        <v>0</v>
      </c>
      <c r="W597" s="1">
        <v>50000</v>
      </c>
      <c r="X597" s="1">
        <v>0</v>
      </c>
      <c r="Y597" s="1">
        <v>0</v>
      </c>
      <c r="Z597" s="1">
        <v>0</v>
      </c>
      <c r="AA597" s="1">
        <v>0</v>
      </c>
      <c r="AB597" s="1">
        <v>0</v>
      </c>
      <c r="AC597" s="1">
        <v>0</v>
      </c>
      <c r="AD597" s="1">
        <v>0</v>
      </c>
    </row>
    <row r="598" spans="1:30" s="20" customFormat="1" ht="36" customHeight="1" x14ac:dyDescent="0.25">
      <c r="A598" s="2">
        <f t="shared" si="339"/>
        <v>570</v>
      </c>
      <c r="B598" s="6">
        <f t="shared" si="336"/>
        <v>570</v>
      </c>
      <c r="C598" s="19" t="s">
        <v>374</v>
      </c>
      <c r="D598" s="4">
        <f t="shared" si="344"/>
        <v>3346422.5</v>
      </c>
      <c r="E598" s="1">
        <f t="shared" si="347"/>
        <v>2046102.5</v>
      </c>
      <c r="F598" s="1">
        <f>804*521.3</f>
        <v>419125.19999999995</v>
      </c>
      <c r="G598" s="1">
        <f>1693*521.3</f>
        <v>882560.89999999991</v>
      </c>
      <c r="H598" s="1">
        <f>390*521.3</f>
        <v>203306.99999999997</v>
      </c>
      <c r="I598" s="1">
        <f>571*521.3</f>
        <v>297662.3</v>
      </c>
      <c r="J598" s="1">
        <f>467*521.3</f>
        <v>243447.09999999998</v>
      </c>
      <c r="K598" s="1">
        <v>0</v>
      </c>
      <c r="L598" s="2">
        <v>0</v>
      </c>
      <c r="M598" s="1">
        <f t="shared" si="348"/>
        <v>0</v>
      </c>
      <c r="N598" s="1">
        <v>0</v>
      </c>
      <c r="O598" s="1">
        <v>0</v>
      </c>
      <c r="P598" s="1">
        <v>0</v>
      </c>
      <c r="Q598" s="1">
        <f t="shared" si="345"/>
        <v>0</v>
      </c>
      <c r="R598" s="1">
        <v>320</v>
      </c>
      <c r="S598" s="1">
        <f t="shared" si="346"/>
        <v>1200320</v>
      </c>
      <c r="T598" s="1">
        <v>0</v>
      </c>
      <c r="U598" s="1">
        <v>50000</v>
      </c>
      <c r="V598" s="1">
        <v>0</v>
      </c>
      <c r="W598" s="1">
        <v>50000</v>
      </c>
      <c r="X598" s="1">
        <v>0</v>
      </c>
      <c r="Y598" s="1">
        <v>0</v>
      </c>
      <c r="Z598" s="1">
        <v>0</v>
      </c>
      <c r="AA598" s="1">
        <v>0</v>
      </c>
      <c r="AB598" s="1">
        <v>0</v>
      </c>
      <c r="AC598" s="1">
        <v>0</v>
      </c>
      <c r="AD598" s="1">
        <v>0</v>
      </c>
    </row>
    <row r="599" spans="1:30" s="20" customFormat="1" ht="36" customHeight="1" x14ac:dyDescent="0.25">
      <c r="A599" s="2">
        <f t="shared" si="339"/>
        <v>571</v>
      </c>
      <c r="B599" s="6">
        <f t="shared" si="336"/>
        <v>571</v>
      </c>
      <c r="C599" s="19" t="s">
        <v>375</v>
      </c>
      <c r="D599" s="4">
        <f t="shared" si="344"/>
        <v>3192405.5</v>
      </c>
      <c r="E599" s="1">
        <f t="shared" si="347"/>
        <v>1892085.4999999998</v>
      </c>
      <c r="F599" s="1">
        <f>804*482.06</f>
        <v>387576.24</v>
      </c>
      <c r="G599" s="1">
        <f>1693*482.06</f>
        <v>816127.58</v>
      </c>
      <c r="H599" s="1">
        <f>390*482.06</f>
        <v>188003.4</v>
      </c>
      <c r="I599" s="1">
        <f>571*482.06</f>
        <v>275256.26</v>
      </c>
      <c r="J599" s="1">
        <f>467*482.06</f>
        <v>225122.02</v>
      </c>
      <c r="K599" s="1">
        <v>0</v>
      </c>
      <c r="L599" s="2">
        <v>0</v>
      </c>
      <c r="M599" s="1">
        <f t="shared" si="348"/>
        <v>0</v>
      </c>
      <c r="N599" s="1">
        <v>0</v>
      </c>
      <c r="O599" s="1">
        <v>0</v>
      </c>
      <c r="P599" s="1">
        <v>0</v>
      </c>
      <c r="Q599" s="1">
        <f t="shared" si="345"/>
        <v>0</v>
      </c>
      <c r="R599" s="1">
        <v>320</v>
      </c>
      <c r="S599" s="1">
        <f t="shared" si="346"/>
        <v>1200320</v>
      </c>
      <c r="T599" s="1">
        <v>0</v>
      </c>
      <c r="U599" s="1">
        <v>50000</v>
      </c>
      <c r="V599" s="1">
        <v>0</v>
      </c>
      <c r="W599" s="1">
        <v>50000</v>
      </c>
      <c r="X599" s="1">
        <v>0</v>
      </c>
      <c r="Y599" s="1">
        <v>0</v>
      </c>
      <c r="Z599" s="1">
        <v>0</v>
      </c>
      <c r="AA599" s="1">
        <v>0</v>
      </c>
      <c r="AB599" s="1">
        <v>0</v>
      </c>
      <c r="AC599" s="1">
        <v>0</v>
      </c>
      <c r="AD599" s="1">
        <v>0</v>
      </c>
    </row>
    <row r="600" spans="1:30" s="20" customFormat="1" ht="36" customHeight="1" x14ac:dyDescent="0.25">
      <c r="A600" s="2">
        <f t="shared" si="339"/>
        <v>572</v>
      </c>
      <c r="B600" s="6">
        <f t="shared" si="336"/>
        <v>572</v>
      </c>
      <c r="C600" s="19" t="s">
        <v>376</v>
      </c>
      <c r="D600" s="4">
        <f t="shared" si="344"/>
        <v>3310312.5</v>
      </c>
      <c r="E600" s="1">
        <f t="shared" si="347"/>
        <v>2009992.5000000002</v>
      </c>
      <c r="F600" s="1">
        <f>804*512.1</f>
        <v>411728.4</v>
      </c>
      <c r="G600" s="1">
        <f>1693*512.1</f>
        <v>866985.3</v>
      </c>
      <c r="H600" s="1">
        <f>390*512.1</f>
        <v>199719</v>
      </c>
      <c r="I600" s="1">
        <f>571*512.1</f>
        <v>292409.10000000003</v>
      </c>
      <c r="J600" s="1">
        <f>467*512.1</f>
        <v>239150.7</v>
      </c>
      <c r="K600" s="1">
        <v>0</v>
      </c>
      <c r="L600" s="2">
        <v>0</v>
      </c>
      <c r="M600" s="1">
        <f t="shared" si="348"/>
        <v>0</v>
      </c>
      <c r="N600" s="1">
        <v>0</v>
      </c>
      <c r="O600" s="1">
        <v>0</v>
      </c>
      <c r="P600" s="1">
        <v>0</v>
      </c>
      <c r="Q600" s="1">
        <f t="shared" si="345"/>
        <v>0</v>
      </c>
      <c r="R600" s="1">
        <v>320</v>
      </c>
      <c r="S600" s="1">
        <f t="shared" si="346"/>
        <v>1200320</v>
      </c>
      <c r="T600" s="1">
        <v>0</v>
      </c>
      <c r="U600" s="1">
        <v>50000</v>
      </c>
      <c r="V600" s="1">
        <v>0</v>
      </c>
      <c r="W600" s="1">
        <v>50000</v>
      </c>
      <c r="X600" s="1">
        <v>0</v>
      </c>
      <c r="Y600" s="1">
        <v>0</v>
      </c>
      <c r="Z600" s="1">
        <v>0</v>
      </c>
      <c r="AA600" s="1">
        <v>0</v>
      </c>
      <c r="AB600" s="1">
        <v>0</v>
      </c>
      <c r="AC600" s="1">
        <v>0</v>
      </c>
      <c r="AD600" s="1">
        <v>0</v>
      </c>
    </row>
    <row r="601" spans="1:30" s="20" customFormat="1" ht="36" customHeight="1" x14ac:dyDescent="0.25">
      <c r="A601" s="2">
        <f t="shared" si="339"/>
        <v>573</v>
      </c>
      <c r="B601" s="6">
        <f t="shared" si="336"/>
        <v>573</v>
      </c>
      <c r="C601" s="19" t="s">
        <v>377</v>
      </c>
      <c r="D601" s="4">
        <f t="shared" si="344"/>
        <v>3252575.75</v>
      </c>
      <c r="E601" s="1">
        <f t="shared" si="347"/>
        <v>1952255.75</v>
      </c>
      <c r="F601" s="1">
        <f>804*497.39</f>
        <v>399901.56</v>
      </c>
      <c r="G601" s="1">
        <f>1693*497.39</f>
        <v>842081.27</v>
      </c>
      <c r="H601" s="1">
        <f>390*497.39</f>
        <v>193982.1</v>
      </c>
      <c r="I601" s="1">
        <f>571*497.39</f>
        <v>284009.69</v>
      </c>
      <c r="J601" s="1">
        <f>467*497.39</f>
        <v>232281.13</v>
      </c>
      <c r="K601" s="1">
        <v>0</v>
      </c>
      <c r="L601" s="2">
        <v>0</v>
      </c>
      <c r="M601" s="1">
        <f t="shared" si="348"/>
        <v>0</v>
      </c>
      <c r="N601" s="1">
        <v>0</v>
      </c>
      <c r="O601" s="1">
        <v>0</v>
      </c>
      <c r="P601" s="1">
        <v>0</v>
      </c>
      <c r="Q601" s="1">
        <f t="shared" si="345"/>
        <v>0</v>
      </c>
      <c r="R601" s="1">
        <v>320</v>
      </c>
      <c r="S601" s="1">
        <f t="shared" si="346"/>
        <v>1200320</v>
      </c>
      <c r="T601" s="1">
        <v>0</v>
      </c>
      <c r="U601" s="1">
        <v>50000</v>
      </c>
      <c r="V601" s="1">
        <v>0</v>
      </c>
      <c r="W601" s="1">
        <v>50000</v>
      </c>
      <c r="X601" s="1">
        <v>0</v>
      </c>
      <c r="Y601" s="1">
        <v>0</v>
      </c>
      <c r="Z601" s="1">
        <v>0</v>
      </c>
      <c r="AA601" s="1">
        <v>0</v>
      </c>
      <c r="AB601" s="1">
        <v>0</v>
      </c>
      <c r="AC601" s="1">
        <v>0</v>
      </c>
      <c r="AD601" s="1">
        <v>0</v>
      </c>
    </row>
    <row r="602" spans="1:30" s="20" customFormat="1" ht="36" customHeight="1" x14ac:dyDescent="0.25">
      <c r="A602" s="2">
        <f t="shared" si="339"/>
        <v>574</v>
      </c>
      <c r="B602" s="3">
        <f t="shared" si="336"/>
        <v>574</v>
      </c>
      <c r="C602" s="19" t="s">
        <v>1456</v>
      </c>
      <c r="D602" s="4">
        <f t="shared" si="344"/>
        <v>18809352.600000001</v>
      </c>
      <c r="E602" s="1">
        <f t="shared" si="347"/>
        <v>14208664.600000001</v>
      </c>
      <c r="F602" s="1">
        <v>0</v>
      </c>
      <c r="G602" s="1">
        <f>1693*4552.6</f>
        <v>7707551.8000000007</v>
      </c>
      <c r="H602" s="1">
        <f>390*4552.6</f>
        <v>1775514.0000000002</v>
      </c>
      <c r="I602" s="1">
        <f>571*4552.6</f>
        <v>2599534.6</v>
      </c>
      <c r="J602" s="1">
        <f>467*4552.6</f>
        <v>2126064.2000000002</v>
      </c>
      <c r="K602" s="1">
        <v>0</v>
      </c>
      <c r="L602" s="2">
        <v>0</v>
      </c>
      <c r="M602" s="1">
        <v>0</v>
      </c>
      <c r="N602" s="1">
        <v>916</v>
      </c>
      <c r="O602" s="1">
        <f>N602*4968</f>
        <v>4550688</v>
      </c>
      <c r="P602" s="1">
        <v>0</v>
      </c>
      <c r="Q602" s="1">
        <f t="shared" si="345"/>
        <v>0</v>
      </c>
      <c r="R602" s="1">
        <v>0</v>
      </c>
      <c r="S602" s="1">
        <f t="shared" si="346"/>
        <v>0</v>
      </c>
      <c r="T602" s="1">
        <v>0</v>
      </c>
      <c r="U602" s="1">
        <v>50000</v>
      </c>
      <c r="V602" s="1">
        <v>0</v>
      </c>
      <c r="W602" s="1">
        <v>0</v>
      </c>
      <c r="X602" s="1">
        <v>0</v>
      </c>
      <c r="Y602" s="1">
        <v>0</v>
      </c>
      <c r="Z602" s="1">
        <v>0</v>
      </c>
      <c r="AA602" s="1">
        <v>0</v>
      </c>
      <c r="AB602" s="1">
        <v>0</v>
      </c>
      <c r="AC602" s="1">
        <v>0</v>
      </c>
      <c r="AD602" s="1">
        <v>0</v>
      </c>
    </row>
    <row r="603" spans="1:30" s="20" customFormat="1" ht="36" customHeight="1" x14ac:dyDescent="0.25">
      <c r="A603" s="2">
        <f t="shared" si="339"/>
        <v>575</v>
      </c>
      <c r="B603" s="6">
        <f t="shared" si="336"/>
        <v>575</v>
      </c>
      <c r="C603" s="19" t="s">
        <v>378</v>
      </c>
      <c r="D603" s="4">
        <f t="shared" si="344"/>
        <v>3152082.5</v>
      </c>
      <c r="E603" s="1">
        <f t="shared" si="347"/>
        <v>1926782.4999999998</v>
      </c>
      <c r="F603" s="1">
        <f>804*490.9</f>
        <v>394683.6</v>
      </c>
      <c r="G603" s="1">
        <f>1693*490.9</f>
        <v>831093.7</v>
      </c>
      <c r="H603" s="1">
        <f>390*490.9</f>
        <v>191451</v>
      </c>
      <c r="I603" s="1">
        <f>571*490.9</f>
        <v>280303.89999999997</v>
      </c>
      <c r="J603" s="1">
        <f>467*490.9</f>
        <v>229250.3</v>
      </c>
      <c r="K603" s="1">
        <v>0</v>
      </c>
      <c r="L603" s="2">
        <v>0</v>
      </c>
      <c r="M603" s="1">
        <f t="shared" si="348"/>
        <v>0</v>
      </c>
      <c r="N603" s="1">
        <v>0</v>
      </c>
      <c r="O603" s="1">
        <v>0</v>
      </c>
      <c r="P603" s="1">
        <v>0</v>
      </c>
      <c r="Q603" s="1">
        <f t="shared" si="345"/>
        <v>0</v>
      </c>
      <c r="R603" s="1">
        <v>300</v>
      </c>
      <c r="S603" s="1">
        <f t="shared" si="346"/>
        <v>1125300</v>
      </c>
      <c r="T603" s="1">
        <v>0</v>
      </c>
      <c r="U603" s="1">
        <v>50000</v>
      </c>
      <c r="V603" s="1">
        <v>0</v>
      </c>
      <c r="W603" s="1">
        <v>50000</v>
      </c>
      <c r="X603" s="1">
        <v>0</v>
      </c>
      <c r="Y603" s="1">
        <v>0</v>
      </c>
      <c r="Z603" s="1">
        <v>0</v>
      </c>
      <c r="AA603" s="1">
        <v>0</v>
      </c>
      <c r="AB603" s="1">
        <v>0</v>
      </c>
      <c r="AC603" s="1">
        <v>0</v>
      </c>
      <c r="AD603" s="1">
        <v>0</v>
      </c>
    </row>
    <row r="604" spans="1:30" s="20" customFormat="1" ht="36" customHeight="1" x14ac:dyDescent="0.25">
      <c r="A604" s="2">
        <f t="shared" si="339"/>
        <v>576</v>
      </c>
      <c r="B604" s="6">
        <f t="shared" si="336"/>
        <v>576</v>
      </c>
      <c r="C604" s="19" t="s">
        <v>379</v>
      </c>
      <c r="D604" s="4">
        <f t="shared" si="344"/>
        <v>3163465</v>
      </c>
      <c r="E604" s="1">
        <f t="shared" si="347"/>
        <v>1938165.0000000002</v>
      </c>
      <c r="F604" s="1">
        <f>804*493.8</f>
        <v>397015.2</v>
      </c>
      <c r="G604" s="1">
        <f>1693*493.8</f>
        <v>836003.4</v>
      </c>
      <c r="H604" s="1">
        <f>390*493.8</f>
        <v>192582</v>
      </c>
      <c r="I604" s="1">
        <f>571*493.8</f>
        <v>281959.8</v>
      </c>
      <c r="J604" s="1">
        <f>467*493.8</f>
        <v>230604.6</v>
      </c>
      <c r="K604" s="1">
        <v>0</v>
      </c>
      <c r="L604" s="2">
        <v>0</v>
      </c>
      <c r="M604" s="1">
        <f t="shared" si="348"/>
        <v>0</v>
      </c>
      <c r="N604" s="1">
        <v>0</v>
      </c>
      <c r="O604" s="1">
        <v>0</v>
      </c>
      <c r="P604" s="1">
        <v>0</v>
      </c>
      <c r="Q604" s="1">
        <f t="shared" si="345"/>
        <v>0</v>
      </c>
      <c r="R604" s="1">
        <v>300</v>
      </c>
      <c r="S604" s="1">
        <f t="shared" si="346"/>
        <v>1125300</v>
      </c>
      <c r="T604" s="1">
        <v>0</v>
      </c>
      <c r="U604" s="1">
        <v>50000</v>
      </c>
      <c r="V604" s="1">
        <v>0</v>
      </c>
      <c r="W604" s="1">
        <v>50000</v>
      </c>
      <c r="X604" s="1">
        <v>0</v>
      </c>
      <c r="Y604" s="1">
        <v>0</v>
      </c>
      <c r="Z604" s="1">
        <v>0</v>
      </c>
      <c r="AA604" s="1">
        <v>0</v>
      </c>
      <c r="AB604" s="1">
        <v>0</v>
      </c>
      <c r="AC604" s="1">
        <v>0</v>
      </c>
      <c r="AD604" s="1">
        <v>0</v>
      </c>
    </row>
    <row r="605" spans="1:30" s="20" customFormat="1" ht="36" customHeight="1" x14ac:dyDescent="0.25">
      <c r="A605" s="2">
        <f t="shared" si="339"/>
        <v>577</v>
      </c>
      <c r="B605" s="6">
        <f t="shared" si="336"/>
        <v>577</v>
      </c>
      <c r="C605" s="19" t="s">
        <v>380</v>
      </c>
      <c r="D605" s="4">
        <f t="shared" si="344"/>
        <v>4182094.75</v>
      </c>
      <c r="E605" s="1">
        <f t="shared" si="347"/>
        <v>2656714.75</v>
      </c>
      <c r="F605" s="1">
        <f>804*676.87</f>
        <v>544203.48</v>
      </c>
      <c r="G605" s="1">
        <f>1693*676.87</f>
        <v>1145940.9099999999</v>
      </c>
      <c r="H605" s="1">
        <f>390*676.87</f>
        <v>263979.3</v>
      </c>
      <c r="I605" s="1">
        <f>571*676.87</f>
        <v>386492.77</v>
      </c>
      <c r="J605" s="1">
        <f>467*676.87</f>
        <v>316098.28999999998</v>
      </c>
      <c r="K605" s="1">
        <v>0</v>
      </c>
      <c r="L605" s="2">
        <v>0</v>
      </c>
      <c r="M605" s="1">
        <f t="shared" si="348"/>
        <v>0</v>
      </c>
      <c r="N605" s="1">
        <v>0</v>
      </c>
      <c r="O605" s="1">
        <v>0</v>
      </c>
      <c r="P605" s="1">
        <v>0</v>
      </c>
      <c r="Q605" s="1">
        <f t="shared" si="345"/>
        <v>0</v>
      </c>
      <c r="R605" s="1">
        <v>380</v>
      </c>
      <c r="S605" s="1">
        <f t="shared" si="346"/>
        <v>1425380</v>
      </c>
      <c r="T605" s="1">
        <v>0</v>
      </c>
      <c r="U605" s="1">
        <v>50000</v>
      </c>
      <c r="V605" s="1">
        <v>0</v>
      </c>
      <c r="W605" s="1">
        <v>50000</v>
      </c>
      <c r="X605" s="1">
        <v>0</v>
      </c>
      <c r="Y605" s="1">
        <v>0</v>
      </c>
      <c r="Z605" s="1">
        <v>0</v>
      </c>
      <c r="AA605" s="1">
        <v>0</v>
      </c>
      <c r="AB605" s="1">
        <v>0</v>
      </c>
      <c r="AC605" s="1">
        <v>0</v>
      </c>
      <c r="AD605" s="1">
        <v>0</v>
      </c>
    </row>
    <row r="606" spans="1:30" s="20" customFormat="1" ht="36" customHeight="1" x14ac:dyDescent="0.25">
      <c r="A606" s="2">
        <f t="shared" si="339"/>
        <v>578</v>
      </c>
      <c r="B606" s="6">
        <f t="shared" si="336"/>
        <v>578</v>
      </c>
      <c r="C606" s="19" t="s">
        <v>381</v>
      </c>
      <c r="D606" s="4">
        <f t="shared" si="344"/>
        <v>3267530</v>
      </c>
      <c r="E606" s="1">
        <f t="shared" si="347"/>
        <v>1967209.9999999998</v>
      </c>
      <c r="F606" s="1">
        <f>804*501.2</f>
        <v>402964.8</v>
      </c>
      <c r="G606" s="1">
        <f>1693*501.2</f>
        <v>848531.6</v>
      </c>
      <c r="H606" s="1">
        <f>390*501.2</f>
        <v>195468</v>
      </c>
      <c r="I606" s="1">
        <f>571*501.2</f>
        <v>286185.2</v>
      </c>
      <c r="J606" s="1">
        <f>467*501.2</f>
        <v>234060.4</v>
      </c>
      <c r="K606" s="1">
        <v>0</v>
      </c>
      <c r="L606" s="2">
        <v>0</v>
      </c>
      <c r="M606" s="1">
        <f t="shared" si="348"/>
        <v>0</v>
      </c>
      <c r="N606" s="1">
        <v>0</v>
      </c>
      <c r="O606" s="1">
        <v>0</v>
      </c>
      <c r="P606" s="1">
        <v>0</v>
      </c>
      <c r="Q606" s="1">
        <f t="shared" si="345"/>
        <v>0</v>
      </c>
      <c r="R606" s="1">
        <v>320</v>
      </c>
      <c r="S606" s="1">
        <f t="shared" si="346"/>
        <v>1200320</v>
      </c>
      <c r="T606" s="1">
        <v>0</v>
      </c>
      <c r="U606" s="1">
        <v>50000</v>
      </c>
      <c r="V606" s="1">
        <v>0</v>
      </c>
      <c r="W606" s="1">
        <v>50000</v>
      </c>
      <c r="X606" s="1">
        <v>0</v>
      </c>
      <c r="Y606" s="1">
        <v>0</v>
      </c>
      <c r="Z606" s="1">
        <v>0</v>
      </c>
      <c r="AA606" s="1">
        <v>0</v>
      </c>
      <c r="AB606" s="1">
        <v>0</v>
      </c>
      <c r="AC606" s="1">
        <v>0</v>
      </c>
      <c r="AD606" s="1">
        <v>0</v>
      </c>
    </row>
    <row r="607" spans="1:30" s="20" customFormat="1" ht="36" customHeight="1" x14ac:dyDescent="0.25">
      <c r="A607" s="2">
        <f t="shared" si="339"/>
        <v>579</v>
      </c>
      <c r="B607" s="6">
        <f t="shared" si="336"/>
        <v>579</v>
      </c>
      <c r="C607" s="19" t="s">
        <v>382</v>
      </c>
      <c r="D607" s="4">
        <f t="shared" si="344"/>
        <v>13277817.25</v>
      </c>
      <c r="E607" s="1">
        <f t="shared" si="347"/>
        <v>9051717.25</v>
      </c>
      <c r="F607" s="1">
        <f>804*2306.17</f>
        <v>1854160.6800000002</v>
      </c>
      <c r="G607" s="1">
        <f>1693*2306.17</f>
        <v>3904345.81</v>
      </c>
      <c r="H607" s="1">
        <f>390*2306.17</f>
        <v>899406.3</v>
      </c>
      <c r="I607" s="1">
        <f>571*2306.17</f>
        <v>1316823.07</v>
      </c>
      <c r="J607" s="1">
        <f>467*2306.17</f>
        <v>1076981.3900000001</v>
      </c>
      <c r="K607" s="1">
        <v>0</v>
      </c>
      <c r="L607" s="2">
        <v>0</v>
      </c>
      <c r="M607" s="1">
        <f t="shared" si="348"/>
        <v>0</v>
      </c>
      <c r="N607" s="1">
        <v>0</v>
      </c>
      <c r="O607" s="1">
        <v>0</v>
      </c>
      <c r="P607" s="1">
        <v>0</v>
      </c>
      <c r="Q607" s="1">
        <f t="shared" si="345"/>
        <v>0</v>
      </c>
      <c r="R607" s="1">
        <v>1100</v>
      </c>
      <c r="S607" s="1">
        <f t="shared" si="346"/>
        <v>4126100</v>
      </c>
      <c r="T607" s="1">
        <v>0</v>
      </c>
      <c r="U607" s="1">
        <v>50000</v>
      </c>
      <c r="V607" s="1">
        <v>0</v>
      </c>
      <c r="W607" s="1">
        <v>50000</v>
      </c>
      <c r="X607" s="1">
        <v>0</v>
      </c>
      <c r="Y607" s="1">
        <v>0</v>
      </c>
      <c r="Z607" s="1">
        <v>0</v>
      </c>
      <c r="AA607" s="1">
        <v>0</v>
      </c>
      <c r="AB607" s="1">
        <v>0</v>
      </c>
      <c r="AC607" s="1">
        <v>0</v>
      </c>
      <c r="AD607" s="1">
        <v>0</v>
      </c>
    </row>
    <row r="608" spans="1:30" s="20" customFormat="1" ht="36" customHeight="1" x14ac:dyDescent="0.25">
      <c r="A608" s="2">
        <f t="shared" ref="A608:A678" si="369">ROW()-ROW($A$11)-17</f>
        <v>580</v>
      </c>
      <c r="B608" s="6">
        <f t="shared" ref="B608:B701" si="370">A608</f>
        <v>580</v>
      </c>
      <c r="C608" s="30" t="s">
        <v>383</v>
      </c>
      <c r="D608" s="4">
        <f t="shared" si="344"/>
        <v>16545629.999999998</v>
      </c>
      <c r="E608" s="1">
        <f t="shared" si="347"/>
        <v>11569329.999999998</v>
      </c>
      <c r="F608" s="1">
        <f>804*2947.6</f>
        <v>2369870.4</v>
      </c>
      <c r="G608" s="1">
        <f>1693*2947.6</f>
        <v>4990286.8</v>
      </c>
      <c r="H608" s="1">
        <f>390*2947.6</f>
        <v>1149564</v>
      </c>
      <c r="I608" s="1">
        <f>571*2947.6</f>
        <v>1683079.5999999999</v>
      </c>
      <c r="J608" s="1">
        <f>467*2947.6</f>
        <v>1376529.2</v>
      </c>
      <c r="K608" s="1">
        <v>0</v>
      </c>
      <c r="L608" s="2">
        <v>0</v>
      </c>
      <c r="M608" s="1">
        <f t="shared" si="348"/>
        <v>0</v>
      </c>
      <c r="N608" s="1">
        <v>0</v>
      </c>
      <c r="O608" s="1">
        <v>0</v>
      </c>
      <c r="P608" s="1">
        <v>0</v>
      </c>
      <c r="Q608" s="1">
        <f t="shared" si="345"/>
        <v>0</v>
      </c>
      <c r="R608" s="1">
        <v>1300</v>
      </c>
      <c r="S608" s="1">
        <f t="shared" si="346"/>
        <v>4876300</v>
      </c>
      <c r="T608" s="1">
        <v>0</v>
      </c>
      <c r="U608" s="1">
        <v>50000</v>
      </c>
      <c r="V608" s="1">
        <v>0</v>
      </c>
      <c r="W608" s="1">
        <v>50000</v>
      </c>
      <c r="X608" s="1">
        <v>0</v>
      </c>
      <c r="Y608" s="1">
        <v>0</v>
      </c>
      <c r="Z608" s="1">
        <v>0</v>
      </c>
      <c r="AA608" s="1">
        <v>0</v>
      </c>
      <c r="AB608" s="1">
        <v>0</v>
      </c>
      <c r="AC608" s="1">
        <v>0</v>
      </c>
      <c r="AD608" s="1">
        <v>0</v>
      </c>
    </row>
    <row r="609" spans="1:30" s="20" customFormat="1" ht="36" customHeight="1" x14ac:dyDescent="0.25">
      <c r="A609" s="2">
        <f t="shared" si="369"/>
        <v>581</v>
      </c>
      <c r="B609" s="6">
        <f t="shared" si="370"/>
        <v>581</v>
      </c>
      <c r="C609" s="30" t="s">
        <v>384</v>
      </c>
      <c r="D609" s="4">
        <f t="shared" ref="D609:D672" si="371">E609+M609+O609+Q609+S609+T609+U609+V609+W609+X609+Z609+AA609+AB609+AC609+AD609</f>
        <v>3621827.5</v>
      </c>
      <c r="E609" s="1">
        <f t="shared" si="347"/>
        <v>1946407.4999999998</v>
      </c>
      <c r="F609" s="1">
        <f>804*495.9</f>
        <v>398703.6</v>
      </c>
      <c r="G609" s="1">
        <f>1693*495.9</f>
        <v>839558.7</v>
      </c>
      <c r="H609" s="1">
        <f>390*495.9</f>
        <v>193401</v>
      </c>
      <c r="I609" s="1">
        <f>571*495.9</f>
        <v>283158.89999999997</v>
      </c>
      <c r="J609" s="1">
        <f>467*495.9</f>
        <v>231585.3</v>
      </c>
      <c r="K609" s="1">
        <v>0</v>
      </c>
      <c r="L609" s="2">
        <v>0</v>
      </c>
      <c r="M609" s="1">
        <f t="shared" si="348"/>
        <v>0</v>
      </c>
      <c r="N609" s="1">
        <v>0</v>
      </c>
      <c r="O609" s="1">
        <v>0</v>
      </c>
      <c r="P609" s="1">
        <v>0</v>
      </c>
      <c r="Q609" s="1">
        <f t="shared" si="345"/>
        <v>0</v>
      </c>
      <c r="R609" s="1">
        <v>420</v>
      </c>
      <c r="S609" s="1">
        <f t="shared" si="346"/>
        <v>1575420</v>
      </c>
      <c r="T609" s="1">
        <v>0</v>
      </c>
      <c r="U609" s="1">
        <v>50000</v>
      </c>
      <c r="V609" s="1">
        <v>0</v>
      </c>
      <c r="W609" s="1">
        <v>50000</v>
      </c>
      <c r="X609" s="1">
        <v>0</v>
      </c>
      <c r="Y609" s="1">
        <v>0</v>
      </c>
      <c r="Z609" s="1">
        <v>0</v>
      </c>
      <c r="AA609" s="1">
        <v>0</v>
      </c>
      <c r="AB609" s="1">
        <v>0</v>
      </c>
      <c r="AC609" s="1">
        <v>0</v>
      </c>
      <c r="AD609" s="1">
        <v>0</v>
      </c>
    </row>
    <row r="610" spans="1:30" s="20" customFormat="1" ht="36" customHeight="1" x14ac:dyDescent="0.25">
      <c r="A610" s="2">
        <f t="shared" si="369"/>
        <v>582</v>
      </c>
      <c r="B610" s="6">
        <f t="shared" si="370"/>
        <v>582</v>
      </c>
      <c r="C610" s="30" t="s">
        <v>385</v>
      </c>
      <c r="D610" s="4">
        <f t="shared" si="371"/>
        <v>6229782.5</v>
      </c>
      <c r="E610" s="1">
        <f t="shared" si="347"/>
        <v>3729142.5000000005</v>
      </c>
      <c r="F610" s="1">
        <f>804*950.1</f>
        <v>763880.4</v>
      </c>
      <c r="G610" s="1">
        <f>1693*950.1</f>
        <v>1608519.3</v>
      </c>
      <c r="H610" s="1">
        <f>390*950.1</f>
        <v>370539</v>
      </c>
      <c r="I610" s="1">
        <f>571*950.1</f>
        <v>542507.1</v>
      </c>
      <c r="J610" s="1">
        <f>467*950.1</f>
        <v>443696.7</v>
      </c>
      <c r="K610" s="1">
        <v>0</v>
      </c>
      <c r="L610" s="2">
        <v>0</v>
      </c>
      <c r="M610" s="1">
        <f t="shared" si="348"/>
        <v>0</v>
      </c>
      <c r="N610" s="1">
        <v>0</v>
      </c>
      <c r="O610" s="1">
        <v>0</v>
      </c>
      <c r="P610" s="1">
        <v>0</v>
      </c>
      <c r="Q610" s="1">
        <f t="shared" si="345"/>
        <v>0</v>
      </c>
      <c r="R610" s="1">
        <v>640</v>
      </c>
      <c r="S610" s="1">
        <f t="shared" si="346"/>
        <v>2400640</v>
      </c>
      <c r="T610" s="1">
        <v>0</v>
      </c>
      <c r="U610" s="1">
        <v>50000</v>
      </c>
      <c r="V610" s="1">
        <v>0</v>
      </c>
      <c r="W610" s="1">
        <v>50000</v>
      </c>
      <c r="X610" s="1">
        <v>0</v>
      </c>
      <c r="Y610" s="1">
        <v>0</v>
      </c>
      <c r="Z610" s="1">
        <v>0</v>
      </c>
      <c r="AA610" s="1">
        <v>0</v>
      </c>
      <c r="AB610" s="1">
        <v>0</v>
      </c>
      <c r="AC610" s="1">
        <v>0</v>
      </c>
      <c r="AD610" s="1">
        <v>0</v>
      </c>
    </row>
    <row r="611" spans="1:30" s="20" customFormat="1" ht="36" customHeight="1" x14ac:dyDescent="0.25">
      <c r="A611" s="2">
        <f t="shared" si="369"/>
        <v>583</v>
      </c>
      <c r="B611" s="6">
        <f t="shared" si="370"/>
        <v>583</v>
      </c>
      <c r="C611" s="19" t="s">
        <v>386</v>
      </c>
      <c r="D611" s="4">
        <f t="shared" si="371"/>
        <v>5238888.25</v>
      </c>
      <c r="E611" s="1">
        <f t="shared" si="347"/>
        <v>3563468.25</v>
      </c>
      <c r="F611" s="1">
        <f>804*907.89</f>
        <v>729943.55999999994</v>
      </c>
      <c r="G611" s="1">
        <f>1693*907.89</f>
        <v>1537057.77</v>
      </c>
      <c r="H611" s="1">
        <f>390*907.89</f>
        <v>354077.1</v>
      </c>
      <c r="I611" s="1">
        <f>571*907.89</f>
        <v>518405.19</v>
      </c>
      <c r="J611" s="1">
        <f>467*907.89</f>
        <v>423984.63</v>
      </c>
      <c r="K611" s="1">
        <v>0</v>
      </c>
      <c r="L611" s="2">
        <v>0</v>
      </c>
      <c r="M611" s="1">
        <f t="shared" si="348"/>
        <v>0</v>
      </c>
      <c r="N611" s="1">
        <v>0</v>
      </c>
      <c r="O611" s="1">
        <v>0</v>
      </c>
      <c r="P611" s="1">
        <v>0</v>
      </c>
      <c r="Q611" s="1">
        <f t="shared" si="345"/>
        <v>0</v>
      </c>
      <c r="R611" s="1">
        <v>420</v>
      </c>
      <c r="S611" s="1">
        <f t="shared" si="346"/>
        <v>1575420</v>
      </c>
      <c r="T611" s="1">
        <v>0</v>
      </c>
      <c r="U611" s="1">
        <v>50000</v>
      </c>
      <c r="V611" s="1">
        <v>0</v>
      </c>
      <c r="W611" s="1">
        <v>50000</v>
      </c>
      <c r="X611" s="1">
        <v>0</v>
      </c>
      <c r="Y611" s="1">
        <v>0</v>
      </c>
      <c r="Z611" s="1">
        <v>0</v>
      </c>
      <c r="AA611" s="1">
        <v>0</v>
      </c>
      <c r="AB611" s="1">
        <v>0</v>
      </c>
      <c r="AC611" s="1">
        <v>0</v>
      </c>
      <c r="AD611" s="1">
        <v>0</v>
      </c>
    </row>
    <row r="612" spans="1:30" s="20" customFormat="1" ht="36" customHeight="1" x14ac:dyDescent="0.25">
      <c r="A612" s="2">
        <f t="shared" si="369"/>
        <v>584</v>
      </c>
      <c r="B612" s="6">
        <f t="shared" si="370"/>
        <v>584</v>
      </c>
      <c r="C612" s="19" t="s">
        <v>387</v>
      </c>
      <c r="D612" s="4">
        <f t="shared" si="371"/>
        <v>11378605.25</v>
      </c>
      <c r="E612" s="1">
        <f t="shared" si="347"/>
        <v>11278605.25</v>
      </c>
      <c r="F612" s="1">
        <f>804*2873.53</f>
        <v>2310318.12</v>
      </c>
      <c r="G612" s="1">
        <f>1693*2873.53</f>
        <v>4864886.29</v>
      </c>
      <c r="H612" s="1">
        <f>390*2873.53</f>
        <v>1120676.7000000002</v>
      </c>
      <c r="I612" s="1">
        <f>571*2873.53</f>
        <v>1640785.6300000001</v>
      </c>
      <c r="J612" s="1">
        <f>467*2873.53</f>
        <v>1341938.51</v>
      </c>
      <c r="K612" s="1">
        <v>0</v>
      </c>
      <c r="L612" s="2">
        <v>0</v>
      </c>
      <c r="M612" s="1">
        <f t="shared" si="348"/>
        <v>0</v>
      </c>
      <c r="N612" s="1">
        <v>0</v>
      </c>
      <c r="O612" s="1">
        <v>0</v>
      </c>
      <c r="P612" s="1">
        <v>0</v>
      </c>
      <c r="Q612" s="1">
        <f t="shared" si="345"/>
        <v>0</v>
      </c>
      <c r="R612" s="1">
        <v>0</v>
      </c>
      <c r="S612" s="1">
        <f t="shared" si="346"/>
        <v>0</v>
      </c>
      <c r="T612" s="1">
        <v>0</v>
      </c>
      <c r="U612" s="1">
        <v>50000</v>
      </c>
      <c r="V612" s="1">
        <v>0</v>
      </c>
      <c r="W612" s="1">
        <v>50000</v>
      </c>
      <c r="X612" s="1">
        <v>0</v>
      </c>
      <c r="Y612" s="1">
        <v>0</v>
      </c>
      <c r="Z612" s="1">
        <v>0</v>
      </c>
      <c r="AA612" s="1">
        <v>0</v>
      </c>
      <c r="AB612" s="1">
        <v>0</v>
      </c>
      <c r="AC612" s="1">
        <v>0</v>
      </c>
      <c r="AD612" s="1">
        <v>0</v>
      </c>
    </row>
    <row r="613" spans="1:30" s="20" customFormat="1" ht="36" customHeight="1" x14ac:dyDescent="0.25">
      <c r="A613" s="2">
        <f t="shared" si="369"/>
        <v>585</v>
      </c>
      <c r="B613" s="6">
        <f>A613</f>
        <v>585</v>
      </c>
      <c r="C613" s="19" t="s">
        <v>2286</v>
      </c>
      <c r="D613" s="4">
        <f t="shared" si="371"/>
        <v>10700000</v>
      </c>
      <c r="E613" s="1">
        <f>SUM(F613:K613)</f>
        <v>0</v>
      </c>
      <c r="F613" s="1">
        <v>0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2">
        <v>3</v>
      </c>
      <c r="M613" s="1">
        <f t="shared" si="348"/>
        <v>10500000</v>
      </c>
      <c r="N613" s="1">
        <v>0</v>
      </c>
      <c r="O613" s="1">
        <v>0</v>
      </c>
      <c r="P613" s="1">
        <v>0</v>
      </c>
      <c r="Q613" s="1">
        <f>P613*1400</f>
        <v>0</v>
      </c>
      <c r="R613" s="1">
        <v>0</v>
      </c>
      <c r="S613" s="1">
        <f>R613*3751</f>
        <v>0</v>
      </c>
      <c r="T613" s="1">
        <v>0</v>
      </c>
      <c r="U613" s="1">
        <v>200000</v>
      </c>
      <c r="V613" s="1">
        <v>0</v>
      </c>
      <c r="W613" s="1">
        <v>0</v>
      </c>
      <c r="X613" s="1">
        <v>0</v>
      </c>
      <c r="Y613" s="1">
        <v>0</v>
      </c>
      <c r="Z613" s="1">
        <v>0</v>
      </c>
      <c r="AA613" s="1">
        <v>0</v>
      </c>
      <c r="AB613" s="1">
        <v>0</v>
      </c>
      <c r="AC613" s="1">
        <v>0</v>
      </c>
      <c r="AD613" s="1">
        <v>0</v>
      </c>
    </row>
    <row r="614" spans="1:30" s="20" customFormat="1" ht="36" customHeight="1" x14ac:dyDescent="0.25">
      <c r="A614" s="2">
        <f t="shared" si="369"/>
        <v>586</v>
      </c>
      <c r="B614" s="6">
        <f t="shared" si="370"/>
        <v>586</v>
      </c>
      <c r="C614" s="19" t="s">
        <v>388</v>
      </c>
      <c r="D614" s="4">
        <f t="shared" si="371"/>
        <v>3027382.7500000005</v>
      </c>
      <c r="E614" s="1">
        <f t="shared" si="347"/>
        <v>2927382.7500000005</v>
      </c>
      <c r="F614" s="1">
        <f>804*745.83</f>
        <v>599647.32000000007</v>
      </c>
      <c r="G614" s="1">
        <f>1693*745.83</f>
        <v>1262690.1900000002</v>
      </c>
      <c r="H614" s="1">
        <f>390*745.83</f>
        <v>290873.7</v>
      </c>
      <c r="I614" s="1">
        <f>571*745.83</f>
        <v>425868.93000000005</v>
      </c>
      <c r="J614" s="1">
        <f>467*745.83</f>
        <v>348302.61000000004</v>
      </c>
      <c r="K614" s="1">
        <v>0</v>
      </c>
      <c r="L614" s="2">
        <v>0</v>
      </c>
      <c r="M614" s="1">
        <f t="shared" si="348"/>
        <v>0</v>
      </c>
      <c r="N614" s="1">
        <v>0</v>
      </c>
      <c r="O614" s="1">
        <v>0</v>
      </c>
      <c r="P614" s="1">
        <v>0</v>
      </c>
      <c r="Q614" s="1">
        <f t="shared" si="345"/>
        <v>0</v>
      </c>
      <c r="R614" s="1">
        <v>0</v>
      </c>
      <c r="S614" s="1">
        <f t="shared" si="346"/>
        <v>0</v>
      </c>
      <c r="T614" s="1">
        <v>0</v>
      </c>
      <c r="U614" s="1">
        <v>50000</v>
      </c>
      <c r="V614" s="1">
        <v>0</v>
      </c>
      <c r="W614" s="1">
        <v>50000</v>
      </c>
      <c r="X614" s="1">
        <v>0</v>
      </c>
      <c r="Y614" s="1">
        <v>0</v>
      </c>
      <c r="Z614" s="1">
        <v>0</v>
      </c>
      <c r="AA614" s="1">
        <v>0</v>
      </c>
      <c r="AB614" s="1">
        <v>0</v>
      </c>
      <c r="AC614" s="1">
        <v>0</v>
      </c>
      <c r="AD614" s="1">
        <v>0</v>
      </c>
    </row>
    <row r="615" spans="1:30" s="20" customFormat="1" ht="36" customHeight="1" x14ac:dyDescent="0.25">
      <c r="A615" s="2">
        <f t="shared" si="369"/>
        <v>587</v>
      </c>
      <c r="B615" s="6">
        <f t="shared" si="370"/>
        <v>587</v>
      </c>
      <c r="C615" s="19" t="s">
        <v>389</v>
      </c>
      <c r="D615" s="4">
        <f t="shared" si="371"/>
        <v>6077696.5</v>
      </c>
      <c r="E615" s="1">
        <f t="shared" si="347"/>
        <v>5977696.5</v>
      </c>
      <c r="F615" s="1">
        <f>804*1522.98</f>
        <v>1224475.92</v>
      </c>
      <c r="G615" s="1">
        <f>1693*1522.98</f>
        <v>2578405.14</v>
      </c>
      <c r="H615" s="1">
        <f>390*1522.98</f>
        <v>593962.19999999995</v>
      </c>
      <c r="I615" s="1">
        <f>571*1522.98</f>
        <v>869621.58</v>
      </c>
      <c r="J615" s="1">
        <f>467*1522.98</f>
        <v>711231.66</v>
      </c>
      <c r="K615" s="1">
        <v>0</v>
      </c>
      <c r="L615" s="2">
        <v>0</v>
      </c>
      <c r="M615" s="1">
        <f t="shared" si="348"/>
        <v>0</v>
      </c>
      <c r="N615" s="1">
        <v>0</v>
      </c>
      <c r="O615" s="1">
        <v>0</v>
      </c>
      <c r="P615" s="1">
        <v>0</v>
      </c>
      <c r="Q615" s="1">
        <f t="shared" si="345"/>
        <v>0</v>
      </c>
      <c r="R615" s="1">
        <v>0</v>
      </c>
      <c r="S615" s="1">
        <f t="shared" si="346"/>
        <v>0</v>
      </c>
      <c r="T615" s="1">
        <v>0</v>
      </c>
      <c r="U615" s="1">
        <v>50000</v>
      </c>
      <c r="V615" s="1">
        <v>0</v>
      </c>
      <c r="W615" s="1">
        <v>50000</v>
      </c>
      <c r="X615" s="1">
        <v>0</v>
      </c>
      <c r="Y615" s="1">
        <v>0</v>
      </c>
      <c r="Z615" s="1">
        <v>0</v>
      </c>
      <c r="AA615" s="1">
        <v>0</v>
      </c>
      <c r="AB615" s="1">
        <v>0</v>
      </c>
      <c r="AC615" s="1">
        <v>0</v>
      </c>
      <c r="AD615" s="1">
        <v>0</v>
      </c>
    </row>
    <row r="616" spans="1:30" s="20" customFormat="1" ht="36" customHeight="1" x14ac:dyDescent="0.25">
      <c r="A616" s="2">
        <f t="shared" si="369"/>
        <v>588</v>
      </c>
      <c r="B616" s="6">
        <f t="shared" si="370"/>
        <v>588</v>
      </c>
      <c r="C616" s="19" t="s">
        <v>390</v>
      </c>
      <c r="D616" s="4">
        <f t="shared" si="371"/>
        <v>3064160.0000000005</v>
      </c>
      <c r="E616" s="1">
        <f t="shared" si="347"/>
        <v>2964160.0000000005</v>
      </c>
      <c r="F616" s="1">
        <f>804*755.2</f>
        <v>607180.80000000005</v>
      </c>
      <c r="G616" s="1">
        <f>1693*755.2</f>
        <v>1278553.6000000001</v>
      </c>
      <c r="H616" s="1">
        <f>390*755.2</f>
        <v>294528</v>
      </c>
      <c r="I616" s="1">
        <f>571*755.2</f>
        <v>431219.20000000001</v>
      </c>
      <c r="J616" s="1">
        <f>467*755.2</f>
        <v>352678.40000000002</v>
      </c>
      <c r="K616" s="1">
        <v>0</v>
      </c>
      <c r="L616" s="2">
        <v>0</v>
      </c>
      <c r="M616" s="1">
        <f t="shared" si="348"/>
        <v>0</v>
      </c>
      <c r="N616" s="1">
        <v>0</v>
      </c>
      <c r="O616" s="1">
        <v>0</v>
      </c>
      <c r="P616" s="1">
        <v>0</v>
      </c>
      <c r="Q616" s="1">
        <f t="shared" si="345"/>
        <v>0</v>
      </c>
      <c r="R616" s="1">
        <v>0</v>
      </c>
      <c r="S616" s="1">
        <f t="shared" si="346"/>
        <v>0</v>
      </c>
      <c r="T616" s="1">
        <v>0</v>
      </c>
      <c r="U616" s="1">
        <v>50000</v>
      </c>
      <c r="V616" s="1">
        <v>0</v>
      </c>
      <c r="W616" s="1">
        <v>50000</v>
      </c>
      <c r="X616" s="1">
        <v>0</v>
      </c>
      <c r="Y616" s="1">
        <v>0</v>
      </c>
      <c r="Z616" s="1">
        <v>0</v>
      </c>
      <c r="AA616" s="1">
        <v>0</v>
      </c>
      <c r="AB616" s="1">
        <v>0</v>
      </c>
      <c r="AC616" s="1">
        <v>0</v>
      </c>
      <c r="AD616" s="1">
        <v>0</v>
      </c>
    </row>
    <row r="617" spans="1:30" s="20" customFormat="1" ht="36" customHeight="1" x14ac:dyDescent="0.25">
      <c r="A617" s="2">
        <f t="shared" si="369"/>
        <v>589</v>
      </c>
      <c r="B617" s="6">
        <f t="shared" si="370"/>
        <v>589</v>
      </c>
      <c r="C617" s="19" t="s">
        <v>391</v>
      </c>
      <c r="D617" s="4">
        <f t="shared" si="371"/>
        <v>8781393.5</v>
      </c>
      <c r="E617" s="1">
        <f t="shared" si="347"/>
        <v>8681393.5</v>
      </c>
      <c r="F617" s="1">
        <f>804*2211.82</f>
        <v>1778303.28</v>
      </c>
      <c r="G617" s="1">
        <f>1693*2211.82</f>
        <v>3744611.2600000002</v>
      </c>
      <c r="H617" s="1">
        <f>390*2211.82</f>
        <v>862609.8</v>
      </c>
      <c r="I617" s="1">
        <f>571*2211.82</f>
        <v>1262949.2200000002</v>
      </c>
      <c r="J617" s="1">
        <f>467*2211.82</f>
        <v>1032919.9400000001</v>
      </c>
      <c r="K617" s="1">
        <v>0</v>
      </c>
      <c r="L617" s="2">
        <v>0</v>
      </c>
      <c r="M617" s="1">
        <f t="shared" si="348"/>
        <v>0</v>
      </c>
      <c r="N617" s="1">
        <v>0</v>
      </c>
      <c r="O617" s="1">
        <v>0</v>
      </c>
      <c r="P617" s="1">
        <v>0</v>
      </c>
      <c r="Q617" s="1">
        <f t="shared" si="345"/>
        <v>0</v>
      </c>
      <c r="R617" s="1">
        <v>0</v>
      </c>
      <c r="S617" s="1">
        <f t="shared" si="346"/>
        <v>0</v>
      </c>
      <c r="T617" s="1">
        <v>0</v>
      </c>
      <c r="U617" s="1">
        <v>50000</v>
      </c>
      <c r="V617" s="1">
        <v>0</v>
      </c>
      <c r="W617" s="1">
        <v>50000</v>
      </c>
      <c r="X617" s="1">
        <v>0</v>
      </c>
      <c r="Y617" s="1">
        <v>0</v>
      </c>
      <c r="Z617" s="1">
        <v>0</v>
      </c>
      <c r="AA617" s="1">
        <v>0</v>
      </c>
      <c r="AB617" s="1">
        <v>0</v>
      </c>
      <c r="AC617" s="1">
        <v>0</v>
      </c>
      <c r="AD617" s="1">
        <v>0</v>
      </c>
    </row>
    <row r="618" spans="1:30" s="20" customFormat="1" ht="36" customHeight="1" x14ac:dyDescent="0.25">
      <c r="A618" s="2">
        <f t="shared" si="369"/>
        <v>590</v>
      </c>
      <c r="B618" s="6">
        <f t="shared" si="370"/>
        <v>590</v>
      </c>
      <c r="C618" s="19" t="s">
        <v>392</v>
      </c>
      <c r="D618" s="4">
        <f t="shared" si="371"/>
        <v>5099272.5000000009</v>
      </c>
      <c r="E618" s="1">
        <f t="shared" si="347"/>
        <v>4999272.5000000009</v>
      </c>
      <c r="F618" s="1">
        <f>804*1273.7</f>
        <v>1024054.8</v>
      </c>
      <c r="G618" s="1">
        <f>1693*1273.7</f>
        <v>2156374.1</v>
      </c>
      <c r="H618" s="1">
        <f>390*1273.7</f>
        <v>496743</v>
      </c>
      <c r="I618" s="1">
        <f>571*1273.7</f>
        <v>727282.70000000007</v>
      </c>
      <c r="J618" s="1">
        <f>467*1273.7</f>
        <v>594817.9</v>
      </c>
      <c r="K618" s="1">
        <v>0</v>
      </c>
      <c r="L618" s="2">
        <v>0</v>
      </c>
      <c r="M618" s="1">
        <f t="shared" si="348"/>
        <v>0</v>
      </c>
      <c r="N618" s="1">
        <v>0</v>
      </c>
      <c r="O618" s="1">
        <v>0</v>
      </c>
      <c r="P618" s="1">
        <v>0</v>
      </c>
      <c r="Q618" s="1">
        <f t="shared" si="345"/>
        <v>0</v>
      </c>
      <c r="R618" s="1">
        <v>0</v>
      </c>
      <c r="S618" s="1">
        <f t="shared" si="346"/>
        <v>0</v>
      </c>
      <c r="T618" s="1">
        <v>0</v>
      </c>
      <c r="U618" s="1">
        <v>50000</v>
      </c>
      <c r="V618" s="1">
        <v>0</v>
      </c>
      <c r="W618" s="1">
        <v>50000</v>
      </c>
      <c r="X618" s="1">
        <v>0</v>
      </c>
      <c r="Y618" s="1">
        <v>0</v>
      </c>
      <c r="Z618" s="1">
        <v>0</v>
      </c>
      <c r="AA618" s="1">
        <v>0</v>
      </c>
      <c r="AB618" s="1">
        <v>0</v>
      </c>
      <c r="AC618" s="1">
        <v>0</v>
      </c>
      <c r="AD618" s="1">
        <v>0</v>
      </c>
    </row>
    <row r="619" spans="1:30" s="20" customFormat="1" ht="36" customHeight="1" x14ac:dyDescent="0.25">
      <c r="A619" s="2">
        <f t="shared" si="369"/>
        <v>591</v>
      </c>
      <c r="B619" s="6">
        <f t="shared" si="370"/>
        <v>591</v>
      </c>
      <c r="C619" s="19" t="s">
        <v>393</v>
      </c>
      <c r="D619" s="4">
        <f t="shared" si="371"/>
        <v>9287404.4999999981</v>
      </c>
      <c r="E619" s="1">
        <f t="shared" si="347"/>
        <v>9187404.4999999981</v>
      </c>
      <c r="F619" s="1">
        <f>804*2340.74</f>
        <v>1881954.9599999997</v>
      </c>
      <c r="G619" s="1">
        <f>1693*2340.74</f>
        <v>3962872.82</v>
      </c>
      <c r="H619" s="1">
        <f>390*2340.74</f>
        <v>912888.59999999986</v>
      </c>
      <c r="I619" s="1">
        <f>571*2340.74</f>
        <v>1336562.5399999998</v>
      </c>
      <c r="J619" s="1">
        <f>467*2340.74</f>
        <v>1093125.5799999998</v>
      </c>
      <c r="K619" s="1">
        <v>0</v>
      </c>
      <c r="L619" s="2">
        <v>0</v>
      </c>
      <c r="M619" s="1">
        <f t="shared" si="348"/>
        <v>0</v>
      </c>
      <c r="N619" s="1">
        <v>0</v>
      </c>
      <c r="O619" s="1">
        <v>0</v>
      </c>
      <c r="P619" s="1">
        <v>0</v>
      </c>
      <c r="Q619" s="1">
        <f t="shared" si="345"/>
        <v>0</v>
      </c>
      <c r="R619" s="1">
        <v>0</v>
      </c>
      <c r="S619" s="1">
        <f t="shared" si="346"/>
        <v>0</v>
      </c>
      <c r="T619" s="1">
        <v>0</v>
      </c>
      <c r="U619" s="1">
        <v>50000</v>
      </c>
      <c r="V619" s="1">
        <v>0</v>
      </c>
      <c r="W619" s="1">
        <v>50000</v>
      </c>
      <c r="X619" s="1">
        <v>0</v>
      </c>
      <c r="Y619" s="1">
        <v>0</v>
      </c>
      <c r="Z619" s="1">
        <v>0</v>
      </c>
      <c r="AA619" s="1">
        <v>0</v>
      </c>
      <c r="AB619" s="1">
        <v>0</v>
      </c>
      <c r="AC619" s="1">
        <v>0</v>
      </c>
      <c r="AD619" s="1">
        <v>0</v>
      </c>
    </row>
    <row r="620" spans="1:30" s="20" customFormat="1" ht="36" customHeight="1" x14ac:dyDescent="0.25">
      <c r="A620" s="2">
        <f t="shared" si="369"/>
        <v>592</v>
      </c>
      <c r="B620" s="6">
        <f>A620</f>
        <v>592</v>
      </c>
      <c r="C620" s="19" t="s">
        <v>2433</v>
      </c>
      <c r="D620" s="4">
        <f t="shared" si="371"/>
        <v>21200000</v>
      </c>
      <c r="E620" s="1">
        <f>SUM(F620:K620)</f>
        <v>0</v>
      </c>
      <c r="F620" s="1">
        <v>0</v>
      </c>
      <c r="G620" s="1">
        <v>0</v>
      </c>
      <c r="H620" s="1">
        <v>0</v>
      </c>
      <c r="I620" s="1">
        <v>0</v>
      </c>
      <c r="J620" s="1">
        <v>0</v>
      </c>
      <c r="K620" s="1">
        <v>0</v>
      </c>
      <c r="L620" s="2">
        <v>6</v>
      </c>
      <c r="M620" s="1">
        <f t="shared" ref="M620" si="372">L620*3500000</f>
        <v>21000000</v>
      </c>
      <c r="N620" s="1">
        <v>0</v>
      </c>
      <c r="O620" s="1">
        <v>0</v>
      </c>
      <c r="P620" s="1">
        <v>0</v>
      </c>
      <c r="Q620" s="1">
        <f>P620*1400</f>
        <v>0</v>
      </c>
      <c r="R620" s="1">
        <v>0</v>
      </c>
      <c r="S620" s="1">
        <f>R620*3751</f>
        <v>0</v>
      </c>
      <c r="T620" s="1">
        <v>0</v>
      </c>
      <c r="U620" s="1">
        <v>200000</v>
      </c>
      <c r="V620" s="1">
        <v>0</v>
      </c>
      <c r="W620" s="1">
        <v>0</v>
      </c>
      <c r="X620" s="1">
        <v>0</v>
      </c>
      <c r="Y620" s="1">
        <v>0</v>
      </c>
      <c r="Z620" s="1">
        <v>0</v>
      </c>
      <c r="AA620" s="1">
        <v>0</v>
      </c>
      <c r="AB620" s="1">
        <v>0</v>
      </c>
      <c r="AC620" s="1">
        <v>0</v>
      </c>
      <c r="AD620" s="1">
        <v>0</v>
      </c>
    </row>
    <row r="621" spans="1:30" s="20" customFormat="1" ht="36" customHeight="1" x14ac:dyDescent="0.25">
      <c r="A621" s="2">
        <f t="shared" si="369"/>
        <v>593</v>
      </c>
      <c r="B621" s="3">
        <f t="shared" si="370"/>
        <v>593</v>
      </c>
      <c r="C621" s="19" t="s">
        <v>914</v>
      </c>
      <c r="D621" s="4">
        <f t="shared" si="371"/>
        <v>11191000</v>
      </c>
      <c r="E621" s="1">
        <f t="shared" ref="E621" si="373">SUM(F621:K621)</f>
        <v>0</v>
      </c>
      <c r="F621" s="1">
        <v>0</v>
      </c>
      <c r="G621" s="1">
        <v>0</v>
      </c>
      <c r="H621" s="1">
        <v>0</v>
      </c>
      <c r="I621" s="1">
        <v>0</v>
      </c>
      <c r="J621" s="1">
        <v>0</v>
      </c>
      <c r="K621" s="1">
        <v>0</v>
      </c>
      <c r="L621" s="2">
        <v>0</v>
      </c>
      <c r="M621" s="1">
        <v>0</v>
      </c>
      <c r="N621" s="1">
        <v>1444</v>
      </c>
      <c r="O621" s="1">
        <f>N621*7750</f>
        <v>11191000</v>
      </c>
      <c r="P621" s="1">
        <v>0</v>
      </c>
      <c r="Q621" s="1">
        <f t="shared" ref="Q621" si="374">P621*1400</f>
        <v>0</v>
      </c>
      <c r="R621" s="1">
        <v>0</v>
      </c>
      <c r="S621" s="1">
        <f t="shared" ref="S621" si="375">R621*3751</f>
        <v>0</v>
      </c>
      <c r="T621" s="1">
        <v>0</v>
      </c>
      <c r="U621" s="1">
        <v>0</v>
      </c>
      <c r="V621" s="1">
        <v>0</v>
      </c>
      <c r="W621" s="1">
        <v>0</v>
      </c>
      <c r="X621" s="1">
        <v>0</v>
      </c>
      <c r="Y621" s="1">
        <v>0</v>
      </c>
      <c r="Z621" s="1">
        <v>0</v>
      </c>
      <c r="AA621" s="1">
        <v>0</v>
      </c>
      <c r="AB621" s="1">
        <v>0</v>
      </c>
      <c r="AC621" s="1">
        <v>0</v>
      </c>
      <c r="AD621" s="1">
        <v>0</v>
      </c>
    </row>
    <row r="622" spans="1:30" s="20" customFormat="1" ht="36" customHeight="1" x14ac:dyDescent="0.25">
      <c r="A622" s="2">
        <f t="shared" si="369"/>
        <v>594</v>
      </c>
      <c r="B622" s="6">
        <f t="shared" si="370"/>
        <v>594</v>
      </c>
      <c r="C622" s="19" t="s">
        <v>394</v>
      </c>
      <c r="D622" s="4">
        <f t="shared" si="371"/>
        <v>2510005</v>
      </c>
      <c r="E622" s="1">
        <f t="shared" si="347"/>
        <v>1209684.9999999998</v>
      </c>
      <c r="F622" s="1">
        <f>804*308.2</f>
        <v>247792.8</v>
      </c>
      <c r="G622" s="1">
        <f>1693*308.2</f>
        <v>521782.6</v>
      </c>
      <c r="H622" s="1">
        <f>390*308.2</f>
        <v>120198</v>
      </c>
      <c r="I622" s="1">
        <f>571*308.2</f>
        <v>175982.19999999998</v>
      </c>
      <c r="J622" s="1">
        <f>467*308.2</f>
        <v>143929.4</v>
      </c>
      <c r="K622" s="1">
        <v>0</v>
      </c>
      <c r="L622" s="2">
        <v>0</v>
      </c>
      <c r="M622" s="1">
        <f t="shared" si="348"/>
        <v>0</v>
      </c>
      <c r="N622" s="1">
        <v>0</v>
      </c>
      <c r="O622" s="1">
        <v>0</v>
      </c>
      <c r="P622" s="1">
        <v>0</v>
      </c>
      <c r="Q622" s="1">
        <f t="shared" si="345"/>
        <v>0</v>
      </c>
      <c r="R622" s="1">
        <v>320</v>
      </c>
      <c r="S622" s="1">
        <f t="shared" si="346"/>
        <v>1200320</v>
      </c>
      <c r="T622" s="1">
        <v>0</v>
      </c>
      <c r="U622" s="1">
        <v>50000</v>
      </c>
      <c r="V622" s="1">
        <v>0</v>
      </c>
      <c r="W622" s="1">
        <v>50000</v>
      </c>
      <c r="X622" s="1">
        <v>0</v>
      </c>
      <c r="Y622" s="1">
        <v>0</v>
      </c>
      <c r="Z622" s="1">
        <v>0</v>
      </c>
      <c r="AA622" s="1">
        <v>0</v>
      </c>
      <c r="AB622" s="1">
        <v>0</v>
      </c>
      <c r="AC622" s="1">
        <v>0</v>
      </c>
      <c r="AD622" s="1">
        <v>0</v>
      </c>
    </row>
    <row r="623" spans="1:30" s="20" customFormat="1" ht="36" customHeight="1" x14ac:dyDescent="0.25">
      <c r="A623" s="2">
        <f t="shared" si="369"/>
        <v>595</v>
      </c>
      <c r="B623" s="6">
        <f t="shared" si="370"/>
        <v>595</v>
      </c>
      <c r="C623" s="19" t="s">
        <v>395</v>
      </c>
      <c r="D623" s="4">
        <f t="shared" si="371"/>
        <v>9175934.5</v>
      </c>
      <c r="E623" s="1">
        <f t="shared" si="347"/>
        <v>9075934.5</v>
      </c>
      <c r="F623" s="1">
        <f>804*2312.34</f>
        <v>1859121.36</v>
      </c>
      <c r="G623" s="1">
        <f>1693*2312.34</f>
        <v>3914791.62</v>
      </c>
      <c r="H623" s="1">
        <f>390*2312.34</f>
        <v>901812.60000000009</v>
      </c>
      <c r="I623" s="1">
        <f>571*2312.34</f>
        <v>1320346.1400000001</v>
      </c>
      <c r="J623" s="1">
        <f>467*2312.34</f>
        <v>1079862.78</v>
      </c>
      <c r="K623" s="1">
        <v>0</v>
      </c>
      <c r="L623" s="2">
        <v>0</v>
      </c>
      <c r="M623" s="1">
        <f t="shared" si="348"/>
        <v>0</v>
      </c>
      <c r="N623" s="1">
        <v>0</v>
      </c>
      <c r="O623" s="1">
        <v>0</v>
      </c>
      <c r="P623" s="1">
        <v>0</v>
      </c>
      <c r="Q623" s="1">
        <f t="shared" si="345"/>
        <v>0</v>
      </c>
      <c r="R623" s="1">
        <v>0</v>
      </c>
      <c r="S623" s="1">
        <f t="shared" si="346"/>
        <v>0</v>
      </c>
      <c r="T623" s="1">
        <v>0</v>
      </c>
      <c r="U623" s="1">
        <v>50000</v>
      </c>
      <c r="V623" s="1">
        <v>0</v>
      </c>
      <c r="W623" s="1">
        <v>50000</v>
      </c>
      <c r="X623" s="1">
        <v>0</v>
      </c>
      <c r="Y623" s="1">
        <v>0</v>
      </c>
      <c r="Z623" s="1">
        <v>0</v>
      </c>
      <c r="AA623" s="1">
        <v>0</v>
      </c>
      <c r="AB623" s="1">
        <v>0</v>
      </c>
      <c r="AC623" s="1">
        <v>0</v>
      </c>
      <c r="AD623" s="1">
        <v>0</v>
      </c>
    </row>
    <row r="624" spans="1:30" s="20" customFormat="1" ht="36" customHeight="1" x14ac:dyDescent="0.25">
      <c r="A624" s="2">
        <f t="shared" si="369"/>
        <v>596</v>
      </c>
      <c r="B624" s="6">
        <f t="shared" si="370"/>
        <v>596</v>
      </c>
      <c r="C624" s="19" t="s">
        <v>396</v>
      </c>
      <c r="D624" s="4">
        <f t="shared" si="371"/>
        <v>2463297.5</v>
      </c>
      <c r="E624" s="1">
        <f t="shared" si="347"/>
        <v>1162977.5000000002</v>
      </c>
      <c r="F624" s="1">
        <f>804*296.3</f>
        <v>238225.2</v>
      </c>
      <c r="G624" s="1">
        <f>1693*296.3</f>
        <v>501635.9</v>
      </c>
      <c r="H624" s="1">
        <f>390*296.3</f>
        <v>115557</v>
      </c>
      <c r="I624" s="1">
        <f>571*296.3</f>
        <v>169187.30000000002</v>
      </c>
      <c r="J624" s="1">
        <f>467*296.3</f>
        <v>138372.1</v>
      </c>
      <c r="K624" s="1">
        <v>0</v>
      </c>
      <c r="L624" s="2">
        <v>0</v>
      </c>
      <c r="M624" s="1">
        <f t="shared" si="348"/>
        <v>0</v>
      </c>
      <c r="N624" s="1">
        <v>0</v>
      </c>
      <c r="O624" s="1">
        <v>0</v>
      </c>
      <c r="P624" s="1">
        <v>0</v>
      </c>
      <c r="Q624" s="1">
        <f t="shared" si="345"/>
        <v>0</v>
      </c>
      <c r="R624" s="1">
        <v>320</v>
      </c>
      <c r="S624" s="1">
        <f t="shared" si="346"/>
        <v>1200320</v>
      </c>
      <c r="T624" s="1">
        <v>0</v>
      </c>
      <c r="U624" s="1">
        <v>50000</v>
      </c>
      <c r="V624" s="1">
        <v>0</v>
      </c>
      <c r="W624" s="1">
        <v>50000</v>
      </c>
      <c r="X624" s="1">
        <v>0</v>
      </c>
      <c r="Y624" s="1">
        <v>0</v>
      </c>
      <c r="Z624" s="1">
        <v>0</v>
      </c>
      <c r="AA624" s="1">
        <v>0</v>
      </c>
      <c r="AB624" s="1">
        <v>0</v>
      </c>
      <c r="AC624" s="1">
        <v>0</v>
      </c>
      <c r="AD624" s="1">
        <v>0</v>
      </c>
    </row>
    <row r="625" spans="1:30" s="20" customFormat="1" ht="36" customHeight="1" x14ac:dyDescent="0.25">
      <c r="A625" s="2">
        <f t="shared" si="369"/>
        <v>597</v>
      </c>
      <c r="B625" s="6">
        <f t="shared" si="370"/>
        <v>597</v>
      </c>
      <c r="C625" s="19" t="s">
        <v>397</v>
      </c>
      <c r="D625" s="4">
        <f t="shared" si="371"/>
        <v>5118465.75</v>
      </c>
      <c r="E625" s="1">
        <f t="shared" si="347"/>
        <v>5018465.75</v>
      </c>
      <c r="F625" s="1">
        <f>804*1278.59</f>
        <v>1027986.36</v>
      </c>
      <c r="G625" s="1">
        <f>1693*1278.59</f>
        <v>2164652.8699999996</v>
      </c>
      <c r="H625" s="1">
        <f>390*1278.59</f>
        <v>498650.1</v>
      </c>
      <c r="I625" s="1">
        <f>571*1278.59</f>
        <v>730074.8899999999</v>
      </c>
      <c r="J625" s="1">
        <f>467*1278.59</f>
        <v>597101.52999999991</v>
      </c>
      <c r="K625" s="1">
        <v>0</v>
      </c>
      <c r="L625" s="2">
        <v>0</v>
      </c>
      <c r="M625" s="1">
        <f t="shared" si="348"/>
        <v>0</v>
      </c>
      <c r="N625" s="1">
        <v>0</v>
      </c>
      <c r="O625" s="1">
        <v>0</v>
      </c>
      <c r="P625" s="1">
        <v>0</v>
      </c>
      <c r="Q625" s="1">
        <f t="shared" si="345"/>
        <v>0</v>
      </c>
      <c r="R625" s="1">
        <v>0</v>
      </c>
      <c r="S625" s="1">
        <f t="shared" si="346"/>
        <v>0</v>
      </c>
      <c r="T625" s="1">
        <v>0</v>
      </c>
      <c r="U625" s="1">
        <v>50000</v>
      </c>
      <c r="V625" s="1">
        <v>0</v>
      </c>
      <c r="W625" s="1">
        <v>50000</v>
      </c>
      <c r="X625" s="1">
        <v>0</v>
      </c>
      <c r="Y625" s="1">
        <v>0</v>
      </c>
      <c r="Z625" s="1">
        <v>0</v>
      </c>
      <c r="AA625" s="1">
        <v>0</v>
      </c>
      <c r="AB625" s="1">
        <v>0</v>
      </c>
      <c r="AC625" s="1">
        <v>0</v>
      </c>
      <c r="AD625" s="1">
        <v>0</v>
      </c>
    </row>
    <row r="626" spans="1:30" s="20" customFormat="1" ht="36" customHeight="1" x14ac:dyDescent="0.25">
      <c r="A626" s="2">
        <f t="shared" si="369"/>
        <v>598</v>
      </c>
      <c r="B626" s="6">
        <f t="shared" si="370"/>
        <v>598</v>
      </c>
      <c r="C626" s="19" t="s">
        <v>398</v>
      </c>
      <c r="D626" s="4">
        <f t="shared" si="371"/>
        <v>6598033.7499999991</v>
      </c>
      <c r="E626" s="1">
        <f t="shared" si="347"/>
        <v>6498033.7499999991</v>
      </c>
      <c r="F626" s="1">
        <f>804*1655.55</f>
        <v>1331062.2</v>
      </c>
      <c r="G626" s="1">
        <f>1693*1655.55</f>
        <v>2802846.15</v>
      </c>
      <c r="H626" s="1">
        <f>390*1655.55</f>
        <v>645664.5</v>
      </c>
      <c r="I626" s="1">
        <f>571*1655.55</f>
        <v>945319.04999999993</v>
      </c>
      <c r="J626" s="1">
        <f>467*1655.55</f>
        <v>773141.85</v>
      </c>
      <c r="K626" s="1">
        <v>0</v>
      </c>
      <c r="L626" s="2">
        <v>0</v>
      </c>
      <c r="M626" s="1">
        <f t="shared" si="348"/>
        <v>0</v>
      </c>
      <c r="N626" s="1">
        <v>0</v>
      </c>
      <c r="O626" s="1">
        <v>0</v>
      </c>
      <c r="P626" s="1">
        <v>0</v>
      </c>
      <c r="Q626" s="1">
        <f t="shared" si="345"/>
        <v>0</v>
      </c>
      <c r="R626" s="1">
        <v>0</v>
      </c>
      <c r="S626" s="1">
        <f t="shared" si="346"/>
        <v>0</v>
      </c>
      <c r="T626" s="1">
        <v>0</v>
      </c>
      <c r="U626" s="1">
        <v>50000</v>
      </c>
      <c r="V626" s="1">
        <v>0</v>
      </c>
      <c r="W626" s="1">
        <v>50000</v>
      </c>
      <c r="X626" s="1">
        <v>0</v>
      </c>
      <c r="Y626" s="1">
        <v>0</v>
      </c>
      <c r="Z626" s="1">
        <v>0</v>
      </c>
      <c r="AA626" s="1">
        <v>0</v>
      </c>
      <c r="AB626" s="1">
        <v>0</v>
      </c>
      <c r="AC626" s="1">
        <v>0</v>
      </c>
      <c r="AD626" s="1">
        <v>0</v>
      </c>
    </row>
    <row r="627" spans="1:30" s="20" customFormat="1" ht="36" customHeight="1" x14ac:dyDescent="0.25">
      <c r="A627" s="2">
        <f t="shared" si="369"/>
        <v>599</v>
      </c>
      <c r="B627" s="6">
        <f t="shared" si="370"/>
        <v>599</v>
      </c>
      <c r="C627" s="19" t="s">
        <v>399</v>
      </c>
      <c r="D627" s="4">
        <f t="shared" si="371"/>
        <v>11556300</v>
      </c>
      <c r="E627" s="1">
        <f t="shared" si="347"/>
        <v>6955100</v>
      </c>
      <c r="F627" s="1">
        <f>804*1772</f>
        <v>1424688</v>
      </c>
      <c r="G627" s="1">
        <f>1693*1772</f>
        <v>2999996</v>
      </c>
      <c r="H627" s="1">
        <f>390*1772</f>
        <v>691080</v>
      </c>
      <c r="I627" s="1">
        <f>571*1772</f>
        <v>1011812</v>
      </c>
      <c r="J627" s="1">
        <f>467*1772</f>
        <v>827524</v>
      </c>
      <c r="K627" s="1">
        <v>0</v>
      </c>
      <c r="L627" s="2">
        <v>0</v>
      </c>
      <c r="M627" s="1">
        <f t="shared" si="348"/>
        <v>0</v>
      </c>
      <c r="N627" s="1">
        <v>0</v>
      </c>
      <c r="O627" s="1">
        <v>0</v>
      </c>
      <c r="P627" s="1">
        <v>0</v>
      </c>
      <c r="Q627" s="1">
        <f t="shared" si="345"/>
        <v>0</v>
      </c>
      <c r="R627" s="1">
        <v>1200</v>
      </c>
      <c r="S627" s="1">
        <f t="shared" si="346"/>
        <v>4501200</v>
      </c>
      <c r="T627" s="1">
        <v>0</v>
      </c>
      <c r="U627" s="1">
        <v>50000</v>
      </c>
      <c r="V627" s="1">
        <v>0</v>
      </c>
      <c r="W627" s="1">
        <v>50000</v>
      </c>
      <c r="X627" s="1">
        <v>0</v>
      </c>
      <c r="Y627" s="1">
        <v>0</v>
      </c>
      <c r="Z627" s="1">
        <v>0</v>
      </c>
      <c r="AA627" s="1">
        <v>0</v>
      </c>
      <c r="AB627" s="1">
        <v>0</v>
      </c>
      <c r="AC627" s="1">
        <v>0</v>
      </c>
      <c r="AD627" s="1">
        <v>0</v>
      </c>
    </row>
    <row r="628" spans="1:30" s="20" customFormat="1" ht="36" customHeight="1" x14ac:dyDescent="0.25">
      <c r="A628" s="2">
        <f t="shared" si="369"/>
        <v>600</v>
      </c>
      <c r="B628" s="6">
        <f t="shared" si="370"/>
        <v>600</v>
      </c>
      <c r="C628" s="19" t="s">
        <v>1953</v>
      </c>
      <c r="D628" s="4">
        <f t="shared" si="371"/>
        <v>3700000</v>
      </c>
      <c r="E628" s="1">
        <f t="shared" si="347"/>
        <v>0</v>
      </c>
      <c r="F628" s="1">
        <v>0</v>
      </c>
      <c r="G628" s="1">
        <v>0</v>
      </c>
      <c r="H628" s="1">
        <v>0</v>
      </c>
      <c r="I628" s="1">
        <v>0</v>
      </c>
      <c r="J628" s="1">
        <v>0</v>
      </c>
      <c r="K628" s="1">
        <v>0</v>
      </c>
      <c r="L628" s="2">
        <v>1</v>
      </c>
      <c r="M628" s="1">
        <f t="shared" si="348"/>
        <v>3500000</v>
      </c>
      <c r="N628" s="1">
        <v>0</v>
      </c>
      <c r="O628" s="1">
        <v>0</v>
      </c>
      <c r="P628" s="1">
        <v>0</v>
      </c>
      <c r="Q628" s="1">
        <f t="shared" si="345"/>
        <v>0</v>
      </c>
      <c r="R628" s="1">
        <v>0</v>
      </c>
      <c r="S628" s="1">
        <f t="shared" si="346"/>
        <v>0</v>
      </c>
      <c r="T628" s="1">
        <v>0</v>
      </c>
      <c r="U628" s="1">
        <v>200000</v>
      </c>
      <c r="V628" s="1">
        <v>0</v>
      </c>
      <c r="W628" s="1">
        <v>0</v>
      </c>
      <c r="X628" s="1">
        <v>0</v>
      </c>
      <c r="Y628" s="1">
        <v>0</v>
      </c>
      <c r="Z628" s="1">
        <v>0</v>
      </c>
      <c r="AA628" s="1">
        <v>0</v>
      </c>
      <c r="AB628" s="1">
        <v>0</v>
      </c>
      <c r="AC628" s="1">
        <v>0</v>
      </c>
      <c r="AD628" s="1">
        <v>0</v>
      </c>
    </row>
    <row r="629" spans="1:30" s="20" customFormat="1" ht="36" customHeight="1" x14ac:dyDescent="0.25">
      <c r="A629" s="2">
        <f t="shared" si="369"/>
        <v>601</v>
      </c>
      <c r="B629" s="6">
        <f t="shared" si="370"/>
        <v>601</v>
      </c>
      <c r="C629" s="19" t="s">
        <v>400</v>
      </c>
      <c r="D629" s="4">
        <f t="shared" si="371"/>
        <v>5049965</v>
      </c>
      <c r="E629" s="1">
        <f t="shared" si="347"/>
        <v>3337035.0000000005</v>
      </c>
      <c r="F629" s="1">
        <f>804*850.2</f>
        <v>683560.8</v>
      </c>
      <c r="G629" s="1">
        <f>1693*850.2</f>
        <v>1439388.6</v>
      </c>
      <c r="H629" s="1">
        <f>390*850.2</f>
        <v>331578</v>
      </c>
      <c r="I629" s="1">
        <f>571*850.2</f>
        <v>485464.2</v>
      </c>
      <c r="J629" s="1">
        <f>467*850.2</f>
        <v>397043.4</v>
      </c>
      <c r="K629" s="1">
        <v>0</v>
      </c>
      <c r="L629" s="2">
        <v>0</v>
      </c>
      <c r="M629" s="1">
        <f t="shared" si="348"/>
        <v>0</v>
      </c>
      <c r="N629" s="1">
        <v>0</v>
      </c>
      <c r="O629" s="1">
        <v>0</v>
      </c>
      <c r="P629" s="1">
        <v>0</v>
      </c>
      <c r="Q629" s="1">
        <f t="shared" si="345"/>
        <v>0</v>
      </c>
      <c r="R629" s="1">
        <v>430</v>
      </c>
      <c r="S629" s="1">
        <f t="shared" si="346"/>
        <v>1612930</v>
      </c>
      <c r="T629" s="1">
        <v>0</v>
      </c>
      <c r="U629" s="1">
        <v>50000</v>
      </c>
      <c r="V629" s="1">
        <v>0</v>
      </c>
      <c r="W629" s="1">
        <v>50000</v>
      </c>
      <c r="X629" s="1">
        <v>0</v>
      </c>
      <c r="Y629" s="1">
        <v>0</v>
      </c>
      <c r="Z629" s="1">
        <v>0</v>
      </c>
      <c r="AA629" s="1">
        <v>0</v>
      </c>
      <c r="AB629" s="1">
        <v>0</v>
      </c>
      <c r="AC629" s="1">
        <v>0</v>
      </c>
      <c r="AD629" s="1">
        <v>0</v>
      </c>
    </row>
    <row r="630" spans="1:30" s="20" customFormat="1" ht="36" customHeight="1" x14ac:dyDescent="0.25">
      <c r="A630" s="2">
        <f t="shared" si="369"/>
        <v>602</v>
      </c>
      <c r="B630" s="6">
        <f>A630</f>
        <v>602</v>
      </c>
      <c r="C630" s="19" t="s">
        <v>1725</v>
      </c>
      <c r="D630" s="4">
        <f t="shared" si="371"/>
        <v>3700000</v>
      </c>
      <c r="E630" s="1">
        <f>SUM(F630:K630)</f>
        <v>0</v>
      </c>
      <c r="F630" s="1">
        <v>0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2">
        <v>1</v>
      </c>
      <c r="M630" s="1">
        <f t="shared" si="348"/>
        <v>3500000</v>
      </c>
      <c r="N630" s="1">
        <v>0</v>
      </c>
      <c r="O630" s="1">
        <v>0</v>
      </c>
      <c r="P630" s="1">
        <v>0</v>
      </c>
      <c r="Q630" s="1">
        <f>P630*1400</f>
        <v>0</v>
      </c>
      <c r="R630" s="1">
        <v>0</v>
      </c>
      <c r="S630" s="1">
        <f>R630*3751</f>
        <v>0</v>
      </c>
      <c r="T630" s="1">
        <v>0</v>
      </c>
      <c r="U630" s="1">
        <v>200000</v>
      </c>
      <c r="V630" s="1">
        <v>0</v>
      </c>
      <c r="W630" s="1">
        <v>0</v>
      </c>
      <c r="X630" s="1">
        <v>0</v>
      </c>
      <c r="Y630" s="1">
        <v>0</v>
      </c>
      <c r="Z630" s="1">
        <v>0</v>
      </c>
      <c r="AA630" s="1">
        <v>0</v>
      </c>
      <c r="AB630" s="1">
        <v>0</v>
      </c>
      <c r="AC630" s="1">
        <v>0</v>
      </c>
      <c r="AD630" s="1">
        <v>0</v>
      </c>
    </row>
    <row r="631" spans="1:30" s="20" customFormat="1" ht="36" customHeight="1" x14ac:dyDescent="0.25">
      <c r="A631" s="2">
        <f t="shared" si="369"/>
        <v>603</v>
      </c>
      <c r="B631" s="6">
        <f t="shared" si="370"/>
        <v>603</v>
      </c>
      <c r="C631" s="19" t="s">
        <v>401</v>
      </c>
      <c r="D631" s="4">
        <f t="shared" si="371"/>
        <v>32489634.5</v>
      </c>
      <c r="E631" s="1">
        <f t="shared" si="347"/>
        <v>14928109.5</v>
      </c>
      <c r="F631" s="1">
        <f>804*3803.34</f>
        <v>3057885.3600000003</v>
      </c>
      <c r="G631" s="1">
        <f>1693*3803.34</f>
        <v>6439054.6200000001</v>
      </c>
      <c r="H631" s="1">
        <f>390*3803.34</f>
        <v>1483302.6</v>
      </c>
      <c r="I631" s="1">
        <f>571*3803.34</f>
        <v>2171707.14</v>
      </c>
      <c r="J631" s="1">
        <f>467*3803.34</f>
        <v>1776159.78</v>
      </c>
      <c r="K631" s="1">
        <v>0</v>
      </c>
      <c r="L631" s="2">
        <v>0</v>
      </c>
      <c r="M631" s="1">
        <f t="shared" si="348"/>
        <v>0</v>
      </c>
      <c r="N631" s="1">
        <v>1333.5</v>
      </c>
      <c r="O631" s="1">
        <f>N631*7750</f>
        <v>10334625</v>
      </c>
      <c r="P631" s="1">
        <v>0</v>
      </c>
      <c r="Q631" s="1">
        <f t="shared" si="345"/>
        <v>0</v>
      </c>
      <c r="R631" s="1">
        <v>1900</v>
      </c>
      <c r="S631" s="1">
        <f t="shared" si="346"/>
        <v>7126900</v>
      </c>
      <c r="T631" s="1">
        <v>0</v>
      </c>
      <c r="U631" s="1">
        <v>50000</v>
      </c>
      <c r="V631" s="1">
        <v>0</v>
      </c>
      <c r="W631" s="1">
        <v>50000</v>
      </c>
      <c r="X631" s="1">
        <v>0</v>
      </c>
      <c r="Y631" s="1">
        <v>0</v>
      </c>
      <c r="Z631" s="1">
        <v>0</v>
      </c>
      <c r="AA631" s="1">
        <v>0</v>
      </c>
      <c r="AB631" s="1">
        <v>0</v>
      </c>
      <c r="AC631" s="1">
        <v>0</v>
      </c>
      <c r="AD631" s="1">
        <v>0</v>
      </c>
    </row>
    <row r="632" spans="1:30" s="20" customFormat="1" ht="36" customHeight="1" x14ac:dyDescent="0.25">
      <c r="A632" s="2">
        <f t="shared" si="369"/>
        <v>604</v>
      </c>
      <c r="B632" s="6">
        <f t="shared" si="370"/>
        <v>604</v>
      </c>
      <c r="C632" s="19" t="s">
        <v>402</v>
      </c>
      <c r="D632" s="4">
        <f t="shared" si="371"/>
        <v>20564491.5</v>
      </c>
      <c r="E632" s="1">
        <f t="shared" si="347"/>
        <v>13660177.500000002</v>
      </c>
      <c r="F632" s="1">
        <f>804*3480.3</f>
        <v>2798161.2</v>
      </c>
      <c r="G632" s="1">
        <f>1693*3480.3</f>
        <v>5892147.9000000004</v>
      </c>
      <c r="H632" s="1">
        <f>390*3480.3</f>
        <v>1357317</v>
      </c>
      <c r="I632" s="1">
        <f>571*3480.3</f>
        <v>1987251.3</v>
      </c>
      <c r="J632" s="1">
        <f>467*3480.3</f>
        <v>1625300.1</v>
      </c>
      <c r="K632" s="1">
        <v>0</v>
      </c>
      <c r="L632" s="2">
        <v>0</v>
      </c>
      <c r="M632" s="1">
        <f t="shared" si="348"/>
        <v>0</v>
      </c>
      <c r="N632" s="1">
        <v>0</v>
      </c>
      <c r="O632" s="1">
        <v>0</v>
      </c>
      <c r="P632" s="1">
        <v>0</v>
      </c>
      <c r="Q632" s="1">
        <f t="shared" si="345"/>
        <v>0</v>
      </c>
      <c r="R632" s="1">
        <v>1814</v>
      </c>
      <c r="S632" s="1">
        <f t="shared" si="346"/>
        <v>6804314</v>
      </c>
      <c r="T632" s="1">
        <v>0</v>
      </c>
      <c r="U632" s="1">
        <v>50000</v>
      </c>
      <c r="V632" s="1">
        <v>0</v>
      </c>
      <c r="W632" s="1">
        <v>50000</v>
      </c>
      <c r="X632" s="1">
        <v>0</v>
      </c>
      <c r="Y632" s="1">
        <v>0</v>
      </c>
      <c r="Z632" s="1">
        <v>0</v>
      </c>
      <c r="AA632" s="1">
        <v>0</v>
      </c>
      <c r="AB632" s="1">
        <v>0</v>
      </c>
      <c r="AC632" s="1">
        <v>0</v>
      </c>
      <c r="AD632" s="1">
        <v>0</v>
      </c>
    </row>
    <row r="633" spans="1:30" s="20" customFormat="1" ht="36" customHeight="1" x14ac:dyDescent="0.25">
      <c r="A633" s="2">
        <f t="shared" si="369"/>
        <v>605</v>
      </c>
      <c r="B633" s="6">
        <f t="shared" si="370"/>
        <v>605</v>
      </c>
      <c r="C633" s="19" t="s">
        <v>403</v>
      </c>
      <c r="D633" s="4">
        <f t="shared" si="371"/>
        <v>3297307.75</v>
      </c>
      <c r="E633" s="1">
        <f t="shared" si="347"/>
        <v>1959477.75</v>
      </c>
      <c r="F633" s="1">
        <f>804*499.23</f>
        <v>401380.92000000004</v>
      </c>
      <c r="G633" s="1">
        <f>1693*499.23</f>
        <v>845196.39</v>
      </c>
      <c r="H633" s="1">
        <f>390*499.23</f>
        <v>194699.7</v>
      </c>
      <c r="I633" s="1">
        <f>571*499.23</f>
        <v>285060.33</v>
      </c>
      <c r="J633" s="1">
        <f>467*499.23</f>
        <v>233140.41</v>
      </c>
      <c r="K633" s="1">
        <v>0</v>
      </c>
      <c r="L633" s="2">
        <v>0</v>
      </c>
      <c r="M633" s="1">
        <f t="shared" si="348"/>
        <v>0</v>
      </c>
      <c r="N633" s="1">
        <v>0</v>
      </c>
      <c r="O633" s="1">
        <v>0</v>
      </c>
      <c r="P633" s="1">
        <v>0</v>
      </c>
      <c r="Q633" s="1">
        <f t="shared" si="345"/>
        <v>0</v>
      </c>
      <c r="R633" s="1">
        <v>330</v>
      </c>
      <c r="S633" s="1">
        <f t="shared" si="346"/>
        <v>1237830</v>
      </c>
      <c r="T633" s="1">
        <v>0</v>
      </c>
      <c r="U633" s="1">
        <v>50000</v>
      </c>
      <c r="V633" s="1">
        <v>0</v>
      </c>
      <c r="W633" s="1">
        <v>50000</v>
      </c>
      <c r="X633" s="1">
        <v>0</v>
      </c>
      <c r="Y633" s="1">
        <v>0</v>
      </c>
      <c r="Z633" s="1">
        <v>0</v>
      </c>
      <c r="AA633" s="1">
        <v>0</v>
      </c>
      <c r="AB633" s="1">
        <v>0</v>
      </c>
      <c r="AC633" s="1">
        <v>0</v>
      </c>
      <c r="AD633" s="1">
        <v>0</v>
      </c>
    </row>
    <row r="634" spans="1:30" s="20" customFormat="1" ht="36" customHeight="1" x14ac:dyDescent="0.25">
      <c r="A634" s="2">
        <f t="shared" si="369"/>
        <v>606</v>
      </c>
      <c r="B634" s="6">
        <f t="shared" si="370"/>
        <v>606</v>
      </c>
      <c r="C634" s="19" t="s">
        <v>404</v>
      </c>
      <c r="D634" s="4">
        <f t="shared" si="371"/>
        <v>14931341.25</v>
      </c>
      <c r="E634" s="1">
        <f t="shared" si="347"/>
        <v>10705241.25</v>
      </c>
      <c r="F634" s="1">
        <f>804*2727.45</f>
        <v>2192869.7999999998</v>
      </c>
      <c r="G634" s="1">
        <f>1693*2727.45</f>
        <v>4617572.8499999996</v>
      </c>
      <c r="H634" s="1">
        <f>390*2727.45</f>
        <v>1063705.5</v>
      </c>
      <c r="I634" s="1">
        <f>571*2727.45</f>
        <v>1557373.95</v>
      </c>
      <c r="J634" s="1">
        <f>467*2727.45</f>
        <v>1273719.1499999999</v>
      </c>
      <c r="K634" s="1">
        <v>0</v>
      </c>
      <c r="L634" s="2">
        <v>0</v>
      </c>
      <c r="M634" s="1">
        <f t="shared" si="348"/>
        <v>0</v>
      </c>
      <c r="N634" s="1">
        <v>0</v>
      </c>
      <c r="O634" s="1">
        <v>0</v>
      </c>
      <c r="P634" s="1">
        <v>0</v>
      </c>
      <c r="Q634" s="1">
        <f t="shared" si="345"/>
        <v>0</v>
      </c>
      <c r="R634" s="1">
        <v>1100</v>
      </c>
      <c r="S634" s="1">
        <f t="shared" si="346"/>
        <v>4126100</v>
      </c>
      <c r="T634" s="1">
        <v>0</v>
      </c>
      <c r="U634" s="1">
        <v>50000</v>
      </c>
      <c r="V634" s="1">
        <v>0</v>
      </c>
      <c r="W634" s="1">
        <v>50000</v>
      </c>
      <c r="X634" s="1">
        <v>0</v>
      </c>
      <c r="Y634" s="1">
        <v>0</v>
      </c>
      <c r="Z634" s="1">
        <v>0</v>
      </c>
      <c r="AA634" s="1">
        <v>0</v>
      </c>
      <c r="AB634" s="1">
        <v>0</v>
      </c>
      <c r="AC634" s="1">
        <v>0</v>
      </c>
      <c r="AD634" s="1">
        <v>0</v>
      </c>
    </row>
    <row r="635" spans="1:30" s="20" customFormat="1" ht="36" customHeight="1" x14ac:dyDescent="0.25">
      <c r="A635" s="2">
        <f t="shared" si="369"/>
        <v>607</v>
      </c>
      <c r="B635" s="6">
        <f>A635</f>
        <v>607</v>
      </c>
      <c r="C635" s="19" t="s">
        <v>2287</v>
      </c>
      <c r="D635" s="4">
        <f t="shared" si="371"/>
        <v>28200000</v>
      </c>
      <c r="E635" s="1">
        <f>SUM(F635:K635)</f>
        <v>0</v>
      </c>
      <c r="F635" s="1">
        <v>0</v>
      </c>
      <c r="G635" s="1">
        <v>0</v>
      </c>
      <c r="H635" s="1">
        <v>0</v>
      </c>
      <c r="I635" s="1">
        <v>0</v>
      </c>
      <c r="J635" s="1">
        <v>0</v>
      </c>
      <c r="K635" s="1">
        <v>0</v>
      </c>
      <c r="L635" s="2">
        <v>8</v>
      </c>
      <c r="M635" s="1">
        <f t="shared" ref="M635" si="376">L635*3500000</f>
        <v>28000000</v>
      </c>
      <c r="N635" s="1">
        <v>0</v>
      </c>
      <c r="O635" s="1">
        <v>0</v>
      </c>
      <c r="P635" s="1">
        <v>0</v>
      </c>
      <c r="Q635" s="1">
        <f>P635*1400</f>
        <v>0</v>
      </c>
      <c r="R635" s="1">
        <v>0</v>
      </c>
      <c r="S635" s="1">
        <f>R635*3751</f>
        <v>0</v>
      </c>
      <c r="T635" s="1">
        <v>0</v>
      </c>
      <c r="U635" s="1">
        <v>200000</v>
      </c>
      <c r="V635" s="1">
        <v>0</v>
      </c>
      <c r="W635" s="1">
        <v>0</v>
      </c>
      <c r="X635" s="1">
        <v>0</v>
      </c>
      <c r="Y635" s="1">
        <v>0</v>
      </c>
      <c r="Z635" s="1">
        <v>0</v>
      </c>
      <c r="AA635" s="1">
        <v>0</v>
      </c>
      <c r="AB635" s="1">
        <v>0</v>
      </c>
      <c r="AC635" s="1">
        <v>0</v>
      </c>
      <c r="AD635" s="1">
        <v>0</v>
      </c>
    </row>
    <row r="636" spans="1:30" s="20" customFormat="1" ht="36" customHeight="1" x14ac:dyDescent="0.25">
      <c r="A636" s="2">
        <f t="shared" si="369"/>
        <v>608</v>
      </c>
      <c r="B636" s="6">
        <f t="shared" si="370"/>
        <v>608</v>
      </c>
      <c r="C636" s="19" t="s">
        <v>405</v>
      </c>
      <c r="D636" s="4">
        <f t="shared" si="371"/>
        <v>5282211.8000000007</v>
      </c>
      <c r="E636" s="1">
        <f t="shared" si="347"/>
        <v>3346847.5000000005</v>
      </c>
      <c r="F636" s="1">
        <f>804*852.7</f>
        <v>685570.8</v>
      </c>
      <c r="G636" s="1">
        <f>1693*852.7</f>
        <v>1443621.1</v>
      </c>
      <c r="H636" s="1">
        <f>390*852.7</f>
        <v>332553</v>
      </c>
      <c r="I636" s="1">
        <f>571*852.7</f>
        <v>486891.7</v>
      </c>
      <c r="J636" s="1">
        <f>467*852.7</f>
        <v>398210.9</v>
      </c>
      <c r="K636" s="1">
        <v>0</v>
      </c>
      <c r="L636" s="2">
        <v>0</v>
      </c>
      <c r="M636" s="1">
        <f t="shared" si="348"/>
        <v>0</v>
      </c>
      <c r="N636" s="1">
        <v>0</v>
      </c>
      <c r="O636" s="1">
        <v>0</v>
      </c>
      <c r="P636" s="1">
        <v>0</v>
      </c>
      <c r="Q636" s="1">
        <f t="shared" si="345"/>
        <v>0</v>
      </c>
      <c r="R636" s="1">
        <v>489.3</v>
      </c>
      <c r="S636" s="1">
        <f t="shared" si="346"/>
        <v>1835364.3</v>
      </c>
      <c r="T636" s="1">
        <v>0</v>
      </c>
      <c r="U636" s="1">
        <v>50000</v>
      </c>
      <c r="V636" s="1">
        <v>0</v>
      </c>
      <c r="W636" s="1">
        <v>50000</v>
      </c>
      <c r="X636" s="1">
        <v>0</v>
      </c>
      <c r="Y636" s="1">
        <v>0</v>
      </c>
      <c r="Z636" s="1">
        <v>0</v>
      </c>
      <c r="AA636" s="1">
        <v>0</v>
      </c>
      <c r="AB636" s="1">
        <v>0</v>
      </c>
      <c r="AC636" s="1">
        <v>0</v>
      </c>
      <c r="AD636" s="1">
        <v>0</v>
      </c>
    </row>
    <row r="637" spans="1:30" s="20" customFormat="1" ht="36" customHeight="1" x14ac:dyDescent="0.25">
      <c r="A637" s="2">
        <f t="shared" si="369"/>
        <v>609</v>
      </c>
      <c r="B637" s="6">
        <f t="shared" si="370"/>
        <v>609</v>
      </c>
      <c r="C637" s="19" t="s">
        <v>406</v>
      </c>
      <c r="D637" s="4">
        <f t="shared" si="371"/>
        <v>7267957.5</v>
      </c>
      <c r="E637" s="1">
        <f t="shared" si="347"/>
        <v>5029887.5</v>
      </c>
      <c r="F637" s="1">
        <f>804*1281.5</f>
        <v>1030326</v>
      </c>
      <c r="G637" s="1">
        <f>1693*1281.5</f>
        <v>2169579.5</v>
      </c>
      <c r="H637" s="1">
        <f>390*1281.5</f>
        <v>499785</v>
      </c>
      <c r="I637" s="1">
        <f>571*1281.5</f>
        <v>731736.5</v>
      </c>
      <c r="J637" s="1">
        <f>467*1281.5</f>
        <v>598460.5</v>
      </c>
      <c r="K637" s="1">
        <v>0</v>
      </c>
      <c r="L637" s="2">
        <v>0</v>
      </c>
      <c r="M637" s="1">
        <f t="shared" si="348"/>
        <v>0</v>
      </c>
      <c r="N637" s="1">
        <v>0</v>
      </c>
      <c r="O637" s="1">
        <v>0</v>
      </c>
      <c r="P637" s="1">
        <v>0</v>
      </c>
      <c r="Q637" s="1">
        <f t="shared" si="345"/>
        <v>0</v>
      </c>
      <c r="R637" s="1">
        <v>570</v>
      </c>
      <c r="S637" s="1">
        <f t="shared" si="346"/>
        <v>2138070</v>
      </c>
      <c r="T637" s="1">
        <v>0</v>
      </c>
      <c r="U637" s="1">
        <v>50000</v>
      </c>
      <c r="V637" s="1">
        <v>0</v>
      </c>
      <c r="W637" s="1">
        <v>50000</v>
      </c>
      <c r="X637" s="1">
        <v>0</v>
      </c>
      <c r="Y637" s="1">
        <v>0</v>
      </c>
      <c r="Z637" s="1">
        <v>0</v>
      </c>
      <c r="AA637" s="1">
        <v>0</v>
      </c>
      <c r="AB637" s="1">
        <v>0</v>
      </c>
      <c r="AC637" s="1">
        <v>0</v>
      </c>
      <c r="AD637" s="1">
        <v>0</v>
      </c>
    </row>
    <row r="638" spans="1:30" s="20" customFormat="1" ht="36" customHeight="1" x14ac:dyDescent="0.25">
      <c r="A638" s="2">
        <f t="shared" si="369"/>
        <v>610</v>
      </c>
      <c r="B638" s="6">
        <f t="shared" si="370"/>
        <v>610</v>
      </c>
      <c r="C638" s="19" t="s">
        <v>407</v>
      </c>
      <c r="D638" s="4">
        <f t="shared" si="371"/>
        <v>3267360</v>
      </c>
      <c r="E638" s="1">
        <f t="shared" si="347"/>
        <v>1929530.0000000002</v>
      </c>
      <c r="F638" s="1">
        <f>804*491.6</f>
        <v>395246.4</v>
      </c>
      <c r="G638" s="1">
        <f>1693*491.6</f>
        <v>832278.8</v>
      </c>
      <c r="H638" s="1">
        <f>390*491.6</f>
        <v>191724</v>
      </c>
      <c r="I638" s="1">
        <f>571*491.6</f>
        <v>280703.60000000003</v>
      </c>
      <c r="J638" s="1">
        <f>467*491.6</f>
        <v>229577.2</v>
      </c>
      <c r="K638" s="1">
        <v>0</v>
      </c>
      <c r="L638" s="2">
        <v>0</v>
      </c>
      <c r="M638" s="1">
        <f t="shared" si="348"/>
        <v>0</v>
      </c>
      <c r="N638" s="1">
        <v>0</v>
      </c>
      <c r="O638" s="1">
        <v>0</v>
      </c>
      <c r="P638" s="1">
        <v>0</v>
      </c>
      <c r="Q638" s="1">
        <f t="shared" si="345"/>
        <v>0</v>
      </c>
      <c r="R638" s="1">
        <v>330</v>
      </c>
      <c r="S638" s="1">
        <f t="shared" si="346"/>
        <v>1237830</v>
      </c>
      <c r="T638" s="1">
        <v>0</v>
      </c>
      <c r="U638" s="1">
        <v>50000</v>
      </c>
      <c r="V638" s="1">
        <v>0</v>
      </c>
      <c r="W638" s="1">
        <v>50000</v>
      </c>
      <c r="X638" s="1">
        <v>0</v>
      </c>
      <c r="Y638" s="1">
        <v>0</v>
      </c>
      <c r="Z638" s="1">
        <v>0</v>
      </c>
      <c r="AA638" s="1">
        <v>0</v>
      </c>
      <c r="AB638" s="1">
        <v>0</v>
      </c>
      <c r="AC638" s="1">
        <v>0</v>
      </c>
      <c r="AD638" s="1">
        <v>0</v>
      </c>
    </row>
    <row r="639" spans="1:30" s="20" customFormat="1" ht="36" customHeight="1" x14ac:dyDescent="0.25">
      <c r="A639" s="2">
        <f t="shared" si="369"/>
        <v>611</v>
      </c>
      <c r="B639" s="6">
        <f t="shared" si="370"/>
        <v>611</v>
      </c>
      <c r="C639" s="19" t="s">
        <v>408</v>
      </c>
      <c r="D639" s="4">
        <f t="shared" si="371"/>
        <v>7315332.25</v>
      </c>
      <c r="E639" s="1">
        <f t="shared" si="347"/>
        <v>5077262.25</v>
      </c>
      <c r="F639" s="1">
        <f>804*1293.57</f>
        <v>1040030.2799999999</v>
      </c>
      <c r="G639" s="1">
        <f>1693*1293.57</f>
        <v>2190014.0099999998</v>
      </c>
      <c r="H639" s="1">
        <f>390*1293.57</f>
        <v>504492.3</v>
      </c>
      <c r="I639" s="1">
        <f>571*1293.57</f>
        <v>738628.47</v>
      </c>
      <c r="J639" s="1">
        <f>467*1293.57</f>
        <v>604097.18999999994</v>
      </c>
      <c r="K639" s="1">
        <v>0</v>
      </c>
      <c r="L639" s="2">
        <v>0</v>
      </c>
      <c r="M639" s="1">
        <f t="shared" si="348"/>
        <v>0</v>
      </c>
      <c r="N639" s="1">
        <v>0</v>
      </c>
      <c r="O639" s="1">
        <v>0</v>
      </c>
      <c r="P639" s="1">
        <v>0</v>
      </c>
      <c r="Q639" s="1">
        <f t="shared" si="345"/>
        <v>0</v>
      </c>
      <c r="R639" s="1">
        <v>570</v>
      </c>
      <c r="S639" s="1">
        <f t="shared" si="346"/>
        <v>2138070</v>
      </c>
      <c r="T639" s="1">
        <v>0</v>
      </c>
      <c r="U639" s="1">
        <v>50000</v>
      </c>
      <c r="V639" s="1">
        <v>0</v>
      </c>
      <c r="W639" s="1">
        <v>50000</v>
      </c>
      <c r="X639" s="1">
        <v>0</v>
      </c>
      <c r="Y639" s="1">
        <v>0</v>
      </c>
      <c r="Z639" s="1">
        <v>0</v>
      </c>
      <c r="AA639" s="1">
        <v>0</v>
      </c>
      <c r="AB639" s="1">
        <v>0</v>
      </c>
      <c r="AC639" s="1">
        <v>0</v>
      </c>
      <c r="AD639" s="1">
        <v>0</v>
      </c>
    </row>
    <row r="640" spans="1:30" s="20" customFormat="1" ht="36" customHeight="1" x14ac:dyDescent="0.25">
      <c r="A640" s="2">
        <f t="shared" si="369"/>
        <v>612</v>
      </c>
      <c r="B640" s="6">
        <f t="shared" si="370"/>
        <v>612</v>
      </c>
      <c r="C640" s="19" t="s">
        <v>409</v>
      </c>
      <c r="D640" s="4">
        <f t="shared" si="371"/>
        <v>4603871.1000000006</v>
      </c>
      <c r="E640" s="1">
        <f t="shared" si="347"/>
        <v>2708642.5000000005</v>
      </c>
      <c r="F640" s="1">
        <f>804*690.1</f>
        <v>554840.4</v>
      </c>
      <c r="G640" s="1">
        <f>1693*690.1</f>
        <v>1168339.3</v>
      </c>
      <c r="H640" s="1">
        <f>390*690.1</f>
        <v>269139</v>
      </c>
      <c r="I640" s="1">
        <f>571*690.1</f>
        <v>394047.10000000003</v>
      </c>
      <c r="J640" s="1">
        <f>467*690.1</f>
        <v>322276.7</v>
      </c>
      <c r="K640" s="1">
        <v>0</v>
      </c>
      <c r="L640" s="2">
        <v>0</v>
      </c>
      <c r="M640" s="1">
        <f t="shared" si="348"/>
        <v>0</v>
      </c>
      <c r="N640" s="1">
        <v>0</v>
      </c>
      <c r="O640" s="1">
        <v>0</v>
      </c>
      <c r="P640" s="1">
        <v>0</v>
      </c>
      <c r="Q640" s="1">
        <f t="shared" si="345"/>
        <v>0</v>
      </c>
      <c r="R640" s="1">
        <v>478.6</v>
      </c>
      <c r="S640" s="1">
        <f t="shared" si="346"/>
        <v>1795228.6</v>
      </c>
      <c r="T640" s="1">
        <v>0</v>
      </c>
      <c r="U640" s="1">
        <v>50000</v>
      </c>
      <c r="V640" s="1">
        <v>0</v>
      </c>
      <c r="W640" s="1">
        <v>50000</v>
      </c>
      <c r="X640" s="1">
        <v>0</v>
      </c>
      <c r="Y640" s="1">
        <v>0</v>
      </c>
      <c r="Z640" s="1">
        <v>0</v>
      </c>
      <c r="AA640" s="1">
        <v>0</v>
      </c>
      <c r="AB640" s="1">
        <v>0</v>
      </c>
      <c r="AC640" s="1">
        <v>0</v>
      </c>
      <c r="AD640" s="1">
        <v>0</v>
      </c>
    </row>
    <row r="641" spans="1:30" s="20" customFormat="1" ht="36" customHeight="1" x14ac:dyDescent="0.25">
      <c r="A641" s="2">
        <f t="shared" si="369"/>
        <v>613</v>
      </c>
      <c r="B641" s="6">
        <f t="shared" si="370"/>
        <v>613</v>
      </c>
      <c r="C641" s="19" t="s">
        <v>410</v>
      </c>
      <c r="D641" s="4">
        <f t="shared" si="371"/>
        <v>4638808.25</v>
      </c>
      <c r="E641" s="1">
        <f t="shared" si="347"/>
        <v>2888368.25</v>
      </c>
      <c r="F641" s="1">
        <f>804*735.89</f>
        <v>591655.55999999994</v>
      </c>
      <c r="G641" s="1">
        <f>1693*735.89</f>
        <v>1245861.77</v>
      </c>
      <c r="H641" s="1">
        <f>390*735.89</f>
        <v>286997.09999999998</v>
      </c>
      <c r="I641" s="1">
        <f>571*735.89</f>
        <v>420193.19</v>
      </c>
      <c r="J641" s="1">
        <f>467*735.89</f>
        <v>343660.63</v>
      </c>
      <c r="K641" s="1">
        <v>0</v>
      </c>
      <c r="L641" s="2">
        <v>0</v>
      </c>
      <c r="M641" s="1">
        <f t="shared" si="348"/>
        <v>0</v>
      </c>
      <c r="N641" s="1">
        <v>0</v>
      </c>
      <c r="O641" s="1">
        <v>0</v>
      </c>
      <c r="P641" s="1">
        <v>0</v>
      </c>
      <c r="Q641" s="1">
        <f t="shared" si="345"/>
        <v>0</v>
      </c>
      <c r="R641" s="1">
        <v>440</v>
      </c>
      <c r="S641" s="1">
        <f t="shared" si="346"/>
        <v>1650440</v>
      </c>
      <c r="T641" s="1">
        <v>0</v>
      </c>
      <c r="U641" s="1">
        <v>50000</v>
      </c>
      <c r="V641" s="1">
        <v>0</v>
      </c>
      <c r="W641" s="1">
        <v>50000</v>
      </c>
      <c r="X641" s="1">
        <v>0</v>
      </c>
      <c r="Y641" s="1">
        <v>0</v>
      </c>
      <c r="Z641" s="1">
        <v>0</v>
      </c>
      <c r="AA641" s="1">
        <v>0</v>
      </c>
      <c r="AB641" s="1">
        <v>0</v>
      </c>
      <c r="AC641" s="1">
        <v>0</v>
      </c>
      <c r="AD641" s="1">
        <v>0</v>
      </c>
    </row>
    <row r="642" spans="1:30" s="20" customFormat="1" ht="36" customHeight="1" x14ac:dyDescent="0.25">
      <c r="A642" s="2">
        <f t="shared" si="369"/>
        <v>614</v>
      </c>
      <c r="B642" s="6">
        <f t="shared" si="370"/>
        <v>614</v>
      </c>
      <c r="C642" s="19" t="s">
        <v>411</v>
      </c>
      <c r="D642" s="4">
        <f t="shared" si="371"/>
        <v>4611097.75</v>
      </c>
      <c r="E642" s="1">
        <f t="shared" si="347"/>
        <v>2860657.7500000005</v>
      </c>
      <c r="F642" s="1">
        <f>804*728.83</f>
        <v>585979.32000000007</v>
      </c>
      <c r="G642" s="1">
        <f>1693*728.83</f>
        <v>1233909.1900000002</v>
      </c>
      <c r="H642" s="1">
        <f>390*728.83</f>
        <v>284243.7</v>
      </c>
      <c r="I642" s="1">
        <f>571*728.83</f>
        <v>416161.93000000005</v>
      </c>
      <c r="J642" s="1">
        <f>467*728.83</f>
        <v>340363.61000000004</v>
      </c>
      <c r="K642" s="1">
        <v>0</v>
      </c>
      <c r="L642" s="2">
        <v>0</v>
      </c>
      <c r="M642" s="1">
        <f t="shared" si="348"/>
        <v>0</v>
      </c>
      <c r="N642" s="1">
        <v>0</v>
      </c>
      <c r="O642" s="1">
        <v>0</v>
      </c>
      <c r="P642" s="1">
        <v>0</v>
      </c>
      <c r="Q642" s="1">
        <f t="shared" si="345"/>
        <v>0</v>
      </c>
      <c r="R642" s="1">
        <v>440</v>
      </c>
      <c r="S642" s="1">
        <f t="shared" si="346"/>
        <v>1650440</v>
      </c>
      <c r="T642" s="1">
        <v>0</v>
      </c>
      <c r="U642" s="1">
        <v>50000</v>
      </c>
      <c r="V642" s="1">
        <v>0</v>
      </c>
      <c r="W642" s="1">
        <v>50000</v>
      </c>
      <c r="X642" s="1">
        <v>0</v>
      </c>
      <c r="Y642" s="1">
        <v>0</v>
      </c>
      <c r="Z642" s="1">
        <v>0</v>
      </c>
      <c r="AA642" s="1">
        <v>0</v>
      </c>
      <c r="AB642" s="1">
        <v>0</v>
      </c>
      <c r="AC642" s="1">
        <v>0</v>
      </c>
      <c r="AD642" s="1">
        <v>0</v>
      </c>
    </row>
    <row r="643" spans="1:30" s="20" customFormat="1" ht="36" customHeight="1" x14ac:dyDescent="0.25">
      <c r="A643" s="2">
        <f t="shared" si="369"/>
        <v>615</v>
      </c>
      <c r="B643" s="6">
        <f t="shared" si="370"/>
        <v>615</v>
      </c>
      <c r="C643" s="19" t="s">
        <v>412</v>
      </c>
      <c r="D643" s="4">
        <f t="shared" si="371"/>
        <v>5210380.25</v>
      </c>
      <c r="E643" s="1">
        <f t="shared" si="347"/>
        <v>3272390.2500000005</v>
      </c>
      <c r="F643" s="1">
        <f>804*833.73</f>
        <v>670318.92000000004</v>
      </c>
      <c r="G643" s="1">
        <f>1693*833.73</f>
        <v>1411504.8900000001</v>
      </c>
      <c r="H643" s="1">
        <f>390*833.73</f>
        <v>325154.7</v>
      </c>
      <c r="I643" s="1">
        <f>571*833.73</f>
        <v>476059.83</v>
      </c>
      <c r="J643" s="1">
        <f>467*833.73</f>
        <v>389351.91000000003</v>
      </c>
      <c r="K643" s="1">
        <v>0</v>
      </c>
      <c r="L643" s="2">
        <v>0</v>
      </c>
      <c r="M643" s="1">
        <f t="shared" si="348"/>
        <v>0</v>
      </c>
      <c r="N643" s="1">
        <v>0</v>
      </c>
      <c r="O643" s="1">
        <v>0</v>
      </c>
      <c r="P643" s="1">
        <v>0</v>
      </c>
      <c r="Q643" s="1">
        <f t="shared" si="345"/>
        <v>0</v>
      </c>
      <c r="R643" s="1">
        <v>490</v>
      </c>
      <c r="S643" s="1">
        <f t="shared" si="346"/>
        <v>1837990</v>
      </c>
      <c r="T643" s="1">
        <v>0</v>
      </c>
      <c r="U643" s="1">
        <v>50000</v>
      </c>
      <c r="V643" s="1">
        <v>0</v>
      </c>
      <c r="W643" s="1">
        <v>50000</v>
      </c>
      <c r="X643" s="1">
        <v>0</v>
      </c>
      <c r="Y643" s="1">
        <v>0</v>
      </c>
      <c r="Z643" s="1">
        <v>0</v>
      </c>
      <c r="AA643" s="1">
        <v>0</v>
      </c>
      <c r="AB643" s="1">
        <v>0</v>
      </c>
      <c r="AC643" s="1">
        <v>0</v>
      </c>
      <c r="AD643" s="1">
        <v>0</v>
      </c>
    </row>
    <row r="644" spans="1:30" s="20" customFormat="1" ht="36" customHeight="1" x14ac:dyDescent="0.25">
      <c r="A644" s="2">
        <f t="shared" si="369"/>
        <v>616</v>
      </c>
      <c r="B644" s="6">
        <f t="shared" si="370"/>
        <v>616</v>
      </c>
      <c r="C644" s="19" t="s">
        <v>413</v>
      </c>
      <c r="D644" s="4">
        <f t="shared" si="371"/>
        <v>4549357.5</v>
      </c>
      <c r="E644" s="1">
        <f t="shared" si="347"/>
        <v>2798917.5000000005</v>
      </c>
      <c r="F644" s="1">
        <f>804*713.1</f>
        <v>573332.4</v>
      </c>
      <c r="G644" s="1">
        <f>1693*713.1</f>
        <v>1207278.3</v>
      </c>
      <c r="H644" s="1">
        <f>390*713.1</f>
        <v>278109</v>
      </c>
      <c r="I644" s="1">
        <f>571*713.1</f>
        <v>407180.10000000003</v>
      </c>
      <c r="J644" s="1">
        <f>467*713.1</f>
        <v>333017.7</v>
      </c>
      <c r="K644" s="1">
        <v>0</v>
      </c>
      <c r="L644" s="2">
        <v>0</v>
      </c>
      <c r="M644" s="1">
        <f t="shared" si="348"/>
        <v>0</v>
      </c>
      <c r="N644" s="1">
        <v>0</v>
      </c>
      <c r="O644" s="1">
        <v>0</v>
      </c>
      <c r="P644" s="1">
        <v>0</v>
      </c>
      <c r="Q644" s="1">
        <f t="shared" si="345"/>
        <v>0</v>
      </c>
      <c r="R644" s="1">
        <v>440</v>
      </c>
      <c r="S644" s="1">
        <f t="shared" si="346"/>
        <v>1650440</v>
      </c>
      <c r="T644" s="1">
        <v>0</v>
      </c>
      <c r="U644" s="1">
        <v>50000</v>
      </c>
      <c r="V644" s="1">
        <v>0</v>
      </c>
      <c r="W644" s="1">
        <v>50000</v>
      </c>
      <c r="X644" s="1">
        <v>0</v>
      </c>
      <c r="Y644" s="1">
        <v>0</v>
      </c>
      <c r="Z644" s="1">
        <v>0</v>
      </c>
      <c r="AA644" s="1">
        <v>0</v>
      </c>
      <c r="AB644" s="1">
        <v>0</v>
      </c>
      <c r="AC644" s="1">
        <v>0</v>
      </c>
      <c r="AD644" s="1">
        <v>0</v>
      </c>
    </row>
    <row r="645" spans="1:30" s="20" customFormat="1" ht="36" customHeight="1" x14ac:dyDescent="0.25">
      <c r="A645" s="2">
        <f t="shared" si="369"/>
        <v>617</v>
      </c>
      <c r="B645" s="6">
        <f t="shared" si="370"/>
        <v>617</v>
      </c>
      <c r="C645" s="19" t="s">
        <v>414</v>
      </c>
      <c r="D645" s="4">
        <f t="shared" si="371"/>
        <v>5454207.7999999998</v>
      </c>
      <c r="E645" s="1">
        <f t="shared" si="347"/>
        <v>3571357.4999999995</v>
      </c>
      <c r="F645" s="1">
        <f>804*909.9</f>
        <v>731559.6</v>
      </c>
      <c r="G645" s="1">
        <f>1693*909.9</f>
        <v>1540460.7</v>
      </c>
      <c r="H645" s="1">
        <f>390*909.9</f>
        <v>354861</v>
      </c>
      <c r="I645" s="1">
        <f>571*909.9</f>
        <v>519552.89999999997</v>
      </c>
      <c r="J645" s="1">
        <f>467*909.9</f>
        <v>424923.3</v>
      </c>
      <c r="K645" s="1">
        <v>0</v>
      </c>
      <c r="L645" s="2">
        <v>0</v>
      </c>
      <c r="M645" s="1">
        <f t="shared" si="348"/>
        <v>0</v>
      </c>
      <c r="N645" s="1">
        <v>0</v>
      </c>
      <c r="O645" s="1">
        <v>0</v>
      </c>
      <c r="P645" s="1">
        <v>0</v>
      </c>
      <c r="Q645" s="1">
        <f t="shared" si="345"/>
        <v>0</v>
      </c>
      <c r="R645" s="1">
        <v>475.3</v>
      </c>
      <c r="S645" s="1">
        <f t="shared" si="346"/>
        <v>1782850.3</v>
      </c>
      <c r="T645" s="1">
        <v>0</v>
      </c>
      <c r="U645" s="1">
        <v>50000</v>
      </c>
      <c r="V645" s="1">
        <v>0</v>
      </c>
      <c r="W645" s="1">
        <v>50000</v>
      </c>
      <c r="X645" s="1">
        <v>0</v>
      </c>
      <c r="Y645" s="1">
        <v>0</v>
      </c>
      <c r="Z645" s="1">
        <v>0</v>
      </c>
      <c r="AA645" s="1">
        <v>0</v>
      </c>
      <c r="AB645" s="1">
        <v>0</v>
      </c>
      <c r="AC645" s="1">
        <v>0</v>
      </c>
      <c r="AD645" s="1">
        <v>0</v>
      </c>
    </row>
    <row r="646" spans="1:30" s="20" customFormat="1" ht="36" customHeight="1" x14ac:dyDescent="0.25">
      <c r="A646" s="2">
        <f t="shared" si="369"/>
        <v>618</v>
      </c>
      <c r="B646" s="6">
        <f t="shared" si="370"/>
        <v>618</v>
      </c>
      <c r="C646" s="30" t="s">
        <v>415</v>
      </c>
      <c r="D646" s="4">
        <f t="shared" si="371"/>
        <v>3253991.67</v>
      </c>
      <c r="E646" s="1">
        <f t="shared" si="347"/>
        <v>0</v>
      </c>
      <c r="F646" s="1">
        <v>0</v>
      </c>
      <c r="G646" s="1">
        <v>0</v>
      </c>
      <c r="H646" s="1">
        <v>0</v>
      </c>
      <c r="I646" s="1">
        <v>0</v>
      </c>
      <c r="J646" s="1">
        <v>0</v>
      </c>
      <c r="K646" s="1">
        <v>0</v>
      </c>
      <c r="L646" s="2">
        <v>0</v>
      </c>
      <c r="M646" s="1">
        <f t="shared" si="348"/>
        <v>0</v>
      </c>
      <c r="N646" s="1">
        <v>0</v>
      </c>
      <c r="O646" s="1">
        <v>0</v>
      </c>
      <c r="P646" s="1">
        <v>0</v>
      </c>
      <c r="Q646" s="1">
        <f t="shared" si="345"/>
        <v>0</v>
      </c>
      <c r="R646" s="1">
        <v>854.17</v>
      </c>
      <c r="S646" s="1">
        <f t="shared" si="346"/>
        <v>3203991.67</v>
      </c>
      <c r="T646" s="1">
        <v>0</v>
      </c>
      <c r="U646" s="1">
        <v>0</v>
      </c>
      <c r="V646" s="1">
        <v>0</v>
      </c>
      <c r="W646" s="1">
        <v>50000</v>
      </c>
      <c r="X646" s="1">
        <v>0</v>
      </c>
      <c r="Y646" s="1">
        <v>0</v>
      </c>
      <c r="Z646" s="1">
        <v>0</v>
      </c>
      <c r="AA646" s="1">
        <v>0</v>
      </c>
      <c r="AB646" s="1">
        <v>0</v>
      </c>
      <c r="AC646" s="1">
        <v>0</v>
      </c>
      <c r="AD646" s="1">
        <v>0</v>
      </c>
    </row>
    <row r="647" spans="1:30" s="20" customFormat="1" ht="36" customHeight="1" x14ac:dyDescent="0.25">
      <c r="A647" s="2">
        <f t="shared" si="369"/>
        <v>619</v>
      </c>
      <c r="B647" s="2">
        <f t="shared" si="370"/>
        <v>619</v>
      </c>
      <c r="C647" s="19" t="s">
        <v>416</v>
      </c>
      <c r="D647" s="39">
        <f t="shared" si="371"/>
        <v>3491458.08</v>
      </c>
      <c r="E647" s="1">
        <f t="shared" si="347"/>
        <v>0</v>
      </c>
      <c r="F647" s="1">
        <v>0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2">
        <v>0</v>
      </c>
      <c r="M647" s="1">
        <f t="shared" si="348"/>
        <v>0</v>
      </c>
      <c r="N647" s="1">
        <v>438.24</v>
      </c>
      <c r="O647" s="1">
        <f>N647*7750</f>
        <v>3396360</v>
      </c>
      <c r="P647" s="1">
        <v>0</v>
      </c>
      <c r="Q647" s="1">
        <f t="shared" si="345"/>
        <v>0</v>
      </c>
      <c r="R647" s="1">
        <v>0</v>
      </c>
      <c r="S647" s="1">
        <f t="shared" si="346"/>
        <v>0</v>
      </c>
      <c r="T647" s="1">
        <v>0</v>
      </c>
      <c r="U647" s="1">
        <v>0</v>
      </c>
      <c r="V647" s="1">
        <v>0</v>
      </c>
      <c r="W647" s="1">
        <v>0</v>
      </c>
      <c r="X647" s="1">
        <v>0</v>
      </c>
      <c r="Y647" s="1">
        <v>0</v>
      </c>
      <c r="Z647" s="1">
        <v>0</v>
      </c>
      <c r="AA647" s="1">
        <v>0</v>
      </c>
      <c r="AB647" s="1">
        <v>95098.08</v>
      </c>
      <c r="AC647" s="1">
        <v>0</v>
      </c>
      <c r="AD647" s="1">
        <v>0</v>
      </c>
    </row>
    <row r="648" spans="1:30" s="20" customFormat="1" ht="36" customHeight="1" x14ac:dyDescent="0.25">
      <c r="A648" s="2">
        <f t="shared" si="369"/>
        <v>620</v>
      </c>
      <c r="B648" s="2">
        <f t="shared" si="370"/>
        <v>620</v>
      </c>
      <c r="C648" s="30" t="s">
        <v>417</v>
      </c>
      <c r="D648" s="39">
        <f t="shared" si="371"/>
        <v>14006642</v>
      </c>
      <c r="E648" s="1">
        <f t="shared" si="347"/>
        <v>7717491.9999999991</v>
      </c>
      <c r="F648" s="1">
        <f>804*1966.24</f>
        <v>1580856.96</v>
      </c>
      <c r="G648" s="1">
        <f>1693*1966.24</f>
        <v>3328844.32</v>
      </c>
      <c r="H648" s="1">
        <f>390*1966.24</f>
        <v>766833.6</v>
      </c>
      <c r="I648" s="1">
        <f>571*1966.24</f>
        <v>1122723.04</v>
      </c>
      <c r="J648" s="1">
        <f>467*1966.24</f>
        <v>918234.08</v>
      </c>
      <c r="K648" s="1">
        <v>0</v>
      </c>
      <c r="L648" s="2">
        <v>0</v>
      </c>
      <c r="M648" s="1">
        <f t="shared" si="348"/>
        <v>0</v>
      </c>
      <c r="N648" s="1">
        <v>0</v>
      </c>
      <c r="O648" s="1">
        <v>0</v>
      </c>
      <c r="P648" s="1">
        <v>0</v>
      </c>
      <c r="Q648" s="1">
        <f t="shared" ref="Q648:Q822" si="377">P648*1400</f>
        <v>0</v>
      </c>
      <c r="R648" s="1">
        <v>1650</v>
      </c>
      <c r="S648" s="1">
        <f t="shared" ref="S648:S822" si="378">R648*3751</f>
        <v>6189150</v>
      </c>
      <c r="T648" s="1">
        <v>0</v>
      </c>
      <c r="U648" s="1">
        <v>50000</v>
      </c>
      <c r="V648" s="1">
        <v>0</v>
      </c>
      <c r="W648" s="1">
        <v>50000</v>
      </c>
      <c r="X648" s="1">
        <v>0</v>
      </c>
      <c r="Y648" s="1">
        <v>0</v>
      </c>
      <c r="Z648" s="1">
        <v>0</v>
      </c>
      <c r="AA648" s="1">
        <v>0</v>
      </c>
      <c r="AB648" s="1">
        <v>0</v>
      </c>
      <c r="AC648" s="1">
        <v>0</v>
      </c>
      <c r="AD648" s="1">
        <v>0</v>
      </c>
    </row>
    <row r="649" spans="1:30" s="20" customFormat="1" ht="36" customHeight="1" x14ac:dyDescent="0.25">
      <c r="A649" s="2">
        <f t="shared" si="369"/>
        <v>621</v>
      </c>
      <c r="B649" s="6">
        <f t="shared" si="370"/>
        <v>621</v>
      </c>
      <c r="C649" s="30" t="s">
        <v>418</v>
      </c>
      <c r="D649" s="4">
        <f t="shared" si="371"/>
        <v>7264144</v>
      </c>
      <c r="E649" s="1">
        <f t="shared" ref="E649:E823" si="379">SUM(F649:K649)</f>
        <v>7164144</v>
      </c>
      <c r="F649" s="1">
        <f>804*2136</f>
        <v>1717344</v>
      </c>
      <c r="G649" s="1">
        <f>1693*2136</f>
        <v>3616248</v>
      </c>
      <c r="H649" s="1">
        <f>390*2136</f>
        <v>833040</v>
      </c>
      <c r="I649" s="1">
        <v>0</v>
      </c>
      <c r="J649" s="1">
        <f>467*2136</f>
        <v>997512</v>
      </c>
      <c r="K649" s="1">
        <v>0</v>
      </c>
      <c r="L649" s="2">
        <v>0</v>
      </c>
      <c r="M649" s="1">
        <f t="shared" si="348"/>
        <v>0</v>
      </c>
      <c r="N649" s="1">
        <v>0</v>
      </c>
      <c r="O649" s="1">
        <v>0</v>
      </c>
      <c r="P649" s="1">
        <v>0</v>
      </c>
      <c r="Q649" s="1">
        <f t="shared" si="377"/>
        <v>0</v>
      </c>
      <c r="R649" s="1">
        <v>0</v>
      </c>
      <c r="S649" s="1">
        <f t="shared" si="378"/>
        <v>0</v>
      </c>
      <c r="T649" s="1">
        <v>0</v>
      </c>
      <c r="U649" s="1">
        <v>50000</v>
      </c>
      <c r="V649" s="1">
        <v>0</v>
      </c>
      <c r="W649" s="1">
        <v>50000</v>
      </c>
      <c r="X649" s="1">
        <v>0</v>
      </c>
      <c r="Y649" s="1">
        <v>0</v>
      </c>
      <c r="Z649" s="1">
        <v>0</v>
      </c>
      <c r="AA649" s="1">
        <v>0</v>
      </c>
      <c r="AB649" s="1">
        <v>0</v>
      </c>
      <c r="AC649" s="1">
        <v>0</v>
      </c>
      <c r="AD649" s="1">
        <v>0</v>
      </c>
    </row>
    <row r="650" spans="1:30" s="20" customFormat="1" ht="36" customHeight="1" x14ac:dyDescent="0.25">
      <c r="A650" s="2">
        <f t="shared" si="369"/>
        <v>622</v>
      </c>
      <c r="B650" s="3">
        <f t="shared" ref="B650" si="380">A650</f>
        <v>622</v>
      </c>
      <c r="C650" s="19" t="s">
        <v>936</v>
      </c>
      <c r="D650" s="4">
        <f t="shared" si="371"/>
        <v>2434320</v>
      </c>
      <c r="E650" s="1">
        <f>SUM(F650:K650)</f>
        <v>0</v>
      </c>
      <c r="F650" s="1">
        <v>0</v>
      </c>
      <c r="G650" s="1">
        <v>0</v>
      </c>
      <c r="H650" s="1">
        <v>0</v>
      </c>
      <c r="I650" s="1">
        <v>0</v>
      </c>
      <c r="J650" s="1">
        <v>0</v>
      </c>
      <c r="K650" s="1">
        <v>0</v>
      </c>
      <c r="L650" s="2">
        <v>0</v>
      </c>
      <c r="M650" s="1">
        <v>0</v>
      </c>
      <c r="N650" s="1">
        <v>490</v>
      </c>
      <c r="O650" s="1">
        <f>N650*4968</f>
        <v>2434320</v>
      </c>
      <c r="P650" s="1">
        <v>0</v>
      </c>
      <c r="Q650" s="1">
        <f>P650*1400</f>
        <v>0</v>
      </c>
      <c r="R650" s="1">
        <v>0</v>
      </c>
      <c r="S650" s="1">
        <f>R650*3751</f>
        <v>0</v>
      </c>
      <c r="T650" s="1">
        <v>0</v>
      </c>
      <c r="U650" s="1">
        <v>0</v>
      </c>
      <c r="V650" s="1">
        <v>0</v>
      </c>
      <c r="W650" s="1">
        <v>0</v>
      </c>
      <c r="X650" s="1">
        <v>0</v>
      </c>
      <c r="Y650" s="1">
        <v>0</v>
      </c>
      <c r="Z650" s="1">
        <v>0</v>
      </c>
      <c r="AA650" s="1">
        <v>0</v>
      </c>
      <c r="AB650" s="1">
        <v>0</v>
      </c>
      <c r="AC650" s="1">
        <v>0</v>
      </c>
      <c r="AD650" s="1">
        <v>0</v>
      </c>
    </row>
    <row r="651" spans="1:30" s="20" customFormat="1" ht="36" customHeight="1" x14ac:dyDescent="0.25">
      <c r="A651" s="2">
        <f t="shared" si="369"/>
        <v>623</v>
      </c>
      <c r="B651" s="6">
        <f>A651</f>
        <v>623</v>
      </c>
      <c r="C651" s="30" t="s">
        <v>937</v>
      </c>
      <c r="D651" s="4">
        <f t="shared" si="371"/>
        <v>7631188.4000000004</v>
      </c>
      <c r="E651" s="1">
        <f t="shared" si="379"/>
        <v>3258531.6</v>
      </c>
      <c r="F651" s="1">
        <f>804*4052.9</f>
        <v>3258531.6</v>
      </c>
      <c r="G651" s="1">
        <v>0</v>
      </c>
      <c r="H651" s="1">
        <v>0</v>
      </c>
      <c r="I651" s="1">
        <v>0</v>
      </c>
      <c r="J651" s="1">
        <v>0</v>
      </c>
      <c r="K651" s="1">
        <v>0</v>
      </c>
      <c r="L651" s="2">
        <v>0</v>
      </c>
      <c r="M651" s="1">
        <f t="shared" ref="M651:M827" si="381">L651*3500000</f>
        <v>0</v>
      </c>
      <c r="N651" s="1">
        <v>870.1</v>
      </c>
      <c r="O651" s="1">
        <f>N651*4968</f>
        <v>4322656.8</v>
      </c>
      <c r="P651" s="1">
        <v>0</v>
      </c>
      <c r="Q651" s="1">
        <f t="shared" si="377"/>
        <v>0</v>
      </c>
      <c r="R651" s="1">
        <v>0</v>
      </c>
      <c r="S651" s="1">
        <f t="shared" si="378"/>
        <v>0</v>
      </c>
      <c r="T651" s="1">
        <v>0</v>
      </c>
      <c r="U651" s="1">
        <v>50000</v>
      </c>
      <c r="V651" s="1">
        <v>0</v>
      </c>
      <c r="W651" s="1">
        <v>0</v>
      </c>
      <c r="X651" s="1">
        <v>0</v>
      </c>
      <c r="Y651" s="1">
        <v>0</v>
      </c>
      <c r="Z651" s="1">
        <v>0</v>
      </c>
      <c r="AA651" s="1">
        <v>0</v>
      </c>
      <c r="AB651" s="1">
        <v>0</v>
      </c>
      <c r="AC651" s="1">
        <v>0</v>
      </c>
      <c r="AD651" s="1">
        <v>0</v>
      </c>
    </row>
    <row r="652" spans="1:30" s="20" customFormat="1" ht="36" customHeight="1" x14ac:dyDescent="0.25">
      <c r="A652" s="2">
        <f t="shared" si="369"/>
        <v>624</v>
      </c>
      <c r="B652" s="3">
        <f>A652</f>
        <v>624</v>
      </c>
      <c r="C652" s="19" t="s">
        <v>938</v>
      </c>
      <c r="D652" s="4">
        <f t="shared" si="371"/>
        <v>4734504</v>
      </c>
      <c r="E652" s="1">
        <f t="shared" ref="E652" si="382">SUM(F652:K652)</f>
        <v>0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2">
        <v>0</v>
      </c>
      <c r="M652" s="1">
        <v>0</v>
      </c>
      <c r="N652" s="1">
        <v>953</v>
      </c>
      <c r="O652" s="1">
        <f>N652*4968</f>
        <v>4734504</v>
      </c>
      <c r="P652" s="1">
        <v>0</v>
      </c>
      <c r="Q652" s="1">
        <f t="shared" ref="Q652" si="383">P652*1400</f>
        <v>0</v>
      </c>
      <c r="R652" s="1">
        <v>0</v>
      </c>
      <c r="S652" s="1">
        <f t="shared" ref="S652" si="384">R652*3751</f>
        <v>0</v>
      </c>
      <c r="T652" s="1">
        <v>0</v>
      </c>
      <c r="U652" s="1">
        <v>0</v>
      </c>
      <c r="V652" s="1">
        <v>0</v>
      </c>
      <c r="W652" s="1">
        <v>0</v>
      </c>
      <c r="X652" s="1">
        <v>0</v>
      </c>
      <c r="Y652" s="1">
        <v>0</v>
      </c>
      <c r="Z652" s="1">
        <v>0</v>
      </c>
      <c r="AA652" s="1">
        <v>0</v>
      </c>
      <c r="AB652" s="1">
        <v>0</v>
      </c>
      <c r="AC652" s="1">
        <v>0</v>
      </c>
      <c r="AD652" s="1">
        <v>0</v>
      </c>
    </row>
    <row r="653" spans="1:30" s="20" customFormat="1" ht="36" customHeight="1" x14ac:dyDescent="0.25">
      <c r="A653" s="2">
        <f t="shared" si="369"/>
        <v>625</v>
      </c>
      <c r="B653" s="6">
        <f>A653</f>
        <v>625</v>
      </c>
      <c r="C653" s="19" t="s">
        <v>2288</v>
      </c>
      <c r="D653" s="4">
        <f t="shared" si="371"/>
        <v>21200000</v>
      </c>
      <c r="E653" s="1">
        <f>SUM(F653:K653)</f>
        <v>0</v>
      </c>
      <c r="F653" s="1">
        <v>0</v>
      </c>
      <c r="G653" s="1">
        <v>0</v>
      </c>
      <c r="H653" s="1">
        <v>0</v>
      </c>
      <c r="I653" s="1">
        <v>0</v>
      </c>
      <c r="J653" s="1">
        <v>0</v>
      </c>
      <c r="K653" s="1">
        <v>0</v>
      </c>
      <c r="L653" s="2">
        <v>6</v>
      </c>
      <c r="M653" s="1">
        <f t="shared" ref="M653" si="385">L653*3500000</f>
        <v>21000000</v>
      </c>
      <c r="N653" s="1">
        <v>0</v>
      </c>
      <c r="O653" s="1">
        <v>0</v>
      </c>
      <c r="P653" s="1">
        <v>0</v>
      </c>
      <c r="Q653" s="1">
        <f>P653*1400</f>
        <v>0</v>
      </c>
      <c r="R653" s="1">
        <v>0</v>
      </c>
      <c r="S653" s="1">
        <f>R653*3751</f>
        <v>0</v>
      </c>
      <c r="T653" s="1">
        <v>0</v>
      </c>
      <c r="U653" s="1">
        <v>200000</v>
      </c>
      <c r="V653" s="1">
        <v>0</v>
      </c>
      <c r="W653" s="1">
        <v>0</v>
      </c>
      <c r="X653" s="1">
        <v>0</v>
      </c>
      <c r="Y653" s="1">
        <v>0</v>
      </c>
      <c r="Z653" s="1">
        <v>0</v>
      </c>
      <c r="AA653" s="1">
        <v>0</v>
      </c>
      <c r="AB653" s="1">
        <v>0</v>
      </c>
      <c r="AC653" s="1">
        <v>0</v>
      </c>
      <c r="AD653" s="1">
        <v>0</v>
      </c>
    </row>
    <row r="654" spans="1:30" s="20" customFormat="1" ht="36" customHeight="1" x14ac:dyDescent="0.25">
      <c r="A654" s="2">
        <f t="shared" si="369"/>
        <v>626</v>
      </c>
      <c r="B654" s="3">
        <f t="shared" ref="B654" si="386">A654</f>
        <v>626</v>
      </c>
      <c r="C654" s="19" t="s">
        <v>947</v>
      </c>
      <c r="D654" s="4">
        <f t="shared" si="371"/>
        <v>3745872</v>
      </c>
      <c r="E654" s="1">
        <f t="shared" si="379"/>
        <v>0</v>
      </c>
      <c r="F654" s="1">
        <v>0</v>
      </c>
      <c r="G654" s="1">
        <v>0</v>
      </c>
      <c r="H654" s="1">
        <v>0</v>
      </c>
      <c r="I654" s="1">
        <v>0</v>
      </c>
      <c r="J654" s="1">
        <v>0</v>
      </c>
      <c r="K654" s="1">
        <v>0</v>
      </c>
      <c r="L654" s="2">
        <v>0</v>
      </c>
      <c r="M654" s="1">
        <v>0</v>
      </c>
      <c r="N654" s="1">
        <v>754</v>
      </c>
      <c r="O654" s="1">
        <f>N654*4968</f>
        <v>3745872</v>
      </c>
      <c r="P654" s="1">
        <v>0</v>
      </c>
      <c r="Q654" s="1">
        <f t="shared" si="377"/>
        <v>0</v>
      </c>
      <c r="R654" s="1">
        <v>0</v>
      </c>
      <c r="S654" s="1">
        <f t="shared" si="378"/>
        <v>0</v>
      </c>
      <c r="T654" s="1">
        <v>0</v>
      </c>
      <c r="U654" s="1">
        <v>0</v>
      </c>
      <c r="V654" s="1">
        <v>0</v>
      </c>
      <c r="W654" s="1">
        <v>0</v>
      </c>
      <c r="X654" s="1">
        <v>0</v>
      </c>
      <c r="Y654" s="1">
        <v>0</v>
      </c>
      <c r="Z654" s="1">
        <v>0</v>
      </c>
      <c r="AA654" s="1">
        <v>0</v>
      </c>
      <c r="AB654" s="1">
        <v>0</v>
      </c>
      <c r="AC654" s="1">
        <v>0</v>
      </c>
      <c r="AD654" s="1">
        <v>0</v>
      </c>
    </row>
    <row r="655" spans="1:30" s="20" customFormat="1" ht="36" customHeight="1" x14ac:dyDescent="0.25">
      <c r="A655" s="2">
        <f t="shared" si="369"/>
        <v>627</v>
      </c>
      <c r="B655" s="6">
        <f t="shared" si="370"/>
        <v>627</v>
      </c>
      <c r="C655" s="30" t="s">
        <v>948</v>
      </c>
      <c r="D655" s="4">
        <f t="shared" si="371"/>
        <v>24893174.299999997</v>
      </c>
      <c r="E655" s="1">
        <f t="shared" si="379"/>
        <v>15840774.299999999</v>
      </c>
      <c r="F655" s="1">
        <f>804*4722.95</f>
        <v>3797251.8</v>
      </c>
      <c r="G655" s="1">
        <f>1693*4722.95</f>
        <v>7995954.3499999996</v>
      </c>
      <c r="H655" s="1">
        <f>390*4722.95</f>
        <v>1841950.5</v>
      </c>
      <c r="I655" s="1">
        <v>0</v>
      </c>
      <c r="J655" s="1">
        <f>467*4722.95</f>
        <v>2205617.65</v>
      </c>
      <c r="K655" s="1">
        <v>0</v>
      </c>
      <c r="L655" s="2">
        <v>0</v>
      </c>
      <c r="M655" s="1">
        <f t="shared" si="381"/>
        <v>0</v>
      </c>
      <c r="N655" s="1">
        <v>0</v>
      </c>
      <c r="O655" s="1">
        <v>0</v>
      </c>
      <c r="P655" s="1">
        <v>0</v>
      </c>
      <c r="Q655" s="1">
        <f t="shared" si="377"/>
        <v>0</v>
      </c>
      <c r="R655" s="1">
        <v>2400</v>
      </c>
      <c r="S655" s="1">
        <f t="shared" si="378"/>
        <v>9002400</v>
      </c>
      <c r="T655" s="1">
        <v>0</v>
      </c>
      <c r="U655" s="1">
        <v>50000</v>
      </c>
      <c r="V655" s="1">
        <v>0</v>
      </c>
      <c r="W655" s="1">
        <v>0</v>
      </c>
      <c r="X655" s="1">
        <v>0</v>
      </c>
      <c r="Y655" s="1">
        <v>0</v>
      </c>
      <c r="Z655" s="1">
        <v>0</v>
      </c>
      <c r="AA655" s="1">
        <v>0</v>
      </c>
      <c r="AB655" s="1">
        <v>0</v>
      </c>
      <c r="AC655" s="1">
        <v>0</v>
      </c>
      <c r="AD655" s="1">
        <v>0</v>
      </c>
    </row>
    <row r="656" spans="1:30" s="20" customFormat="1" ht="36" customHeight="1" x14ac:dyDescent="0.25">
      <c r="A656" s="2">
        <f t="shared" si="369"/>
        <v>628</v>
      </c>
      <c r="B656" s="6">
        <f>A656</f>
        <v>628</v>
      </c>
      <c r="C656" s="30" t="s">
        <v>1816</v>
      </c>
      <c r="D656" s="4">
        <f t="shared" si="371"/>
        <v>36574767.519999996</v>
      </c>
      <c r="E656" s="1">
        <f t="shared" si="379"/>
        <v>17419467.52</v>
      </c>
      <c r="F656" s="1">
        <f>804*5037.44</f>
        <v>4050101.76</v>
      </c>
      <c r="G656" s="1">
        <f>1693*5037.44</f>
        <v>8528385.9199999999</v>
      </c>
      <c r="H656" s="1">
        <f>390*5037.44</f>
        <v>1964601.5999999999</v>
      </c>
      <c r="I656" s="1">
        <f>571*5037.44</f>
        <v>2876378.2399999998</v>
      </c>
      <c r="J656" s="1">
        <v>0</v>
      </c>
      <c r="K656" s="1">
        <v>0</v>
      </c>
      <c r="L656" s="2">
        <v>0</v>
      </c>
      <c r="M656" s="1">
        <f t="shared" si="381"/>
        <v>0</v>
      </c>
      <c r="N656" s="1">
        <v>1352</v>
      </c>
      <c r="O656" s="1">
        <f>N656*7750</f>
        <v>10478000</v>
      </c>
      <c r="P656" s="1">
        <v>0</v>
      </c>
      <c r="Q656" s="1">
        <f t="shared" si="377"/>
        <v>0</v>
      </c>
      <c r="R656" s="1">
        <v>2300</v>
      </c>
      <c r="S656" s="1">
        <f t="shared" si="378"/>
        <v>8627300</v>
      </c>
      <c r="T656" s="1">
        <v>0</v>
      </c>
      <c r="U656" s="1">
        <v>50000</v>
      </c>
      <c r="V656" s="1">
        <v>0</v>
      </c>
      <c r="W656" s="1">
        <v>0</v>
      </c>
      <c r="X656" s="1">
        <v>0</v>
      </c>
      <c r="Y656" s="1">
        <v>0</v>
      </c>
      <c r="Z656" s="1">
        <v>0</v>
      </c>
      <c r="AA656" s="1">
        <v>0</v>
      </c>
      <c r="AB656" s="1">
        <v>0</v>
      </c>
      <c r="AC656" s="1">
        <v>0</v>
      </c>
      <c r="AD656" s="1">
        <v>0</v>
      </c>
    </row>
    <row r="657" spans="1:30" s="20" customFormat="1" ht="36" customHeight="1" x14ac:dyDescent="0.25">
      <c r="A657" s="2">
        <f t="shared" si="369"/>
        <v>629</v>
      </c>
      <c r="B657" s="6">
        <f t="shared" si="370"/>
        <v>629</v>
      </c>
      <c r="C657" s="30" t="s">
        <v>1817</v>
      </c>
      <c r="D657" s="4">
        <f t="shared" si="371"/>
        <v>2738230</v>
      </c>
      <c r="E657" s="1">
        <f t="shared" si="379"/>
        <v>0</v>
      </c>
      <c r="F657" s="1">
        <v>0</v>
      </c>
      <c r="G657" s="1">
        <v>0</v>
      </c>
      <c r="H657" s="1">
        <v>0</v>
      </c>
      <c r="I657" s="1">
        <v>0</v>
      </c>
      <c r="J657" s="1">
        <v>0</v>
      </c>
      <c r="K657" s="1">
        <v>0</v>
      </c>
      <c r="L657" s="2">
        <v>0</v>
      </c>
      <c r="M657" s="1">
        <f t="shared" si="381"/>
        <v>0</v>
      </c>
      <c r="N657" s="1">
        <v>0</v>
      </c>
      <c r="O657" s="1">
        <v>0</v>
      </c>
      <c r="P657" s="1">
        <v>0</v>
      </c>
      <c r="Q657" s="1">
        <f t="shared" si="377"/>
        <v>0</v>
      </c>
      <c r="R657" s="1">
        <v>730</v>
      </c>
      <c r="S657" s="1">
        <f t="shared" si="378"/>
        <v>2738230</v>
      </c>
      <c r="T657" s="1">
        <v>0</v>
      </c>
      <c r="U657" s="1">
        <v>0</v>
      </c>
      <c r="V657" s="1">
        <v>0</v>
      </c>
      <c r="W657" s="1">
        <v>0</v>
      </c>
      <c r="X657" s="1">
        <v>0</v>
      </c>
      <c r="Y657" s="1">
        <v>0</v>
      </c>
      <c r="Z657" s="1">
        <v>0</v>
      </c>
      <c r="AA657" s="1">
        <v>0</v>
      </c>
      <c r="AB657" s="1">
        <v>0</v>
      </c>
      <c r="AC657" s="1">
        <v>0</v>
      </c>
      <c r="AD657" s="1">
        <v>0</v>
      </c>
    </row>
    <row r="658" spans="1:30" s="20" customFormat="1" ht="36" customHeight="1" x14ac:dyDescent="0.25">
      <c r="A658" s="2">
        <f t="shared" si="369"/>
        <v>630</v>
      </c>
      <c r="B658" s="3">
        <f t="shared" si="370"/>
        <v>630</v>
      </c>
      <c r="C658" s="19" t="s">
        <v>1834</v>
      </c>
      <c r="D658" s="4">
        <f t="shared" si="371"/>
        <v>8773000</v>
      </c>
      <c r="E658" s="1">
        <f t="shared" ref="E658" si="387">SUM(F658:K658)</f>
        <v>0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0</v>
      </c>
      <c r="L658" s="2">
        <v>0</v>
      </c>
      <c r="M658" s="1">
        <v>0</v>
      </c>
      <c r="N658" s="1">
        <v>1132</v>
      </c>
      <c r="O658" s="1">
        <f>N658*7750</f>
        <v>8773000</v>
      </c>
      <c r="P658" s="1">
        <v>0</v>
      </c>
      <c r="Q658" s="1">
        <f t="shared" ref="Q658" si="388">P658*1400</f>
        <v>0</v>
      </c>
      <c r="R658" s="1">
        <v>0</v>
      </c>
      <c r="S658" s="1">
        <f t="shared" ref="S658" si="389">R658*3751</f>
        <v>0</v>
      </c>
      <c r="T658" s="1">
        <v>0</v>
      </c>
      <c r="U658" s="1">
        <v>0</v>
      </c>
      <c r="V658" s="1">
        <v>0</v>
      </c>
      <c r="W658" s="1">
        <v>0</v>
      </c>
      <c r="X658" s="1">
        <v>0</v>
      </c>
      <c r="Y658" s="1">
        <v>0</v>
      </c>
      <c r="Z658" s="1">
        <v>0</v>
      </c>
      <c r="AA658" s="1">
        <v>0</v>
      </c>
      <c r="AB658" s="1">
        <v>0</v>
      </c>
      <c r="AC658" s="1">
        <v>0</v>
      </c>
      <c r="AD658" s="1">
        <v>0</v>
      </c>
    </row>
    <row r="659" spans="1:30" s="20" customFormat="1" ht="36" customHeight="1" x14ac:dyDescent="0.25">
      <c r="A659" s="2">
        <f t="shared" si="369"/>
        <v>631</v>
      </c>
      <c r="B659" s="6">
        <f t="shared" si="370"/>
        <v>631</v>
      </c>
      <c r="C659" s="19" t="s">
        <v>419</v>
      </c>
      <c r="D659" s="4">
        <f t="shared" si="371"/>
        <v>5067902.5</v>
      </c>
      <c r="E659" s="1">
        <f t="shared" si="379"/>
        <v>3242442.5000000005</v>
      </c>
      <c r="F659" s="1">
        <f>804*826.1</f>
        <v>664184.4</v>
      </c>
      <c r="G659" s="1">
        <f>1693*826.1</f>
        <v>1398587.3</v>
      </c>
      <c r="H659" s="1">
        <f>390*826.1</f>
        <v>322179</v>
      </c>
      <c r="I659" s="1">
        <f>571*826.1</f>
        <v>471703.10000000003</v>
      </c>
      <c r="J659" s="1">
        <f>467*826.1</f>
        <v>385788.7</v>
      </c>
      <c r="K659" s="1">
        <v>0</v>
      </c>
      <c r="L659" s="2">
        <v>0</v>
      </c>
      <c r="M659" s="1">
        <f t="shared" si="381"/>
        <v>0</v>
      </c>
      <c r="N659" s="1">
        <v>0</v>
      </c>
      <c r="O659" s="1">
        <v>0</v>
      </c>
      <c r="P659" s="1">
        <v>0</v>
      </c>
      <c r="Q659" s="1">
        <f t="shared" si="377"/>
        <v>0</v>
      </c>
      <c r="R659" s="1">
        <v>460</v>
      </c>
      <c r="S659" s="1">
        <f t="shared" si="378"/>
        <v>1725460</v>
      </c>
      <c r="T659" s="1">
        <v>0</v>
      </c>
      <c r="U659" s="1">
        <v>50000</v>
      </c>
      <c r="V659" s="1">
        <v>0</v>
      </c>
      <c r="W659" s="1">
        <v>50000</v>
      </c>
      <c r="X659" s="1">
        <v>0</v>
      </c>
      <c r="Y659" s="1">
        <v>0</v>
      </c>
      <c r="Z659" s="1">
        <v>0</v>
      </c>
      <c r="AA659" s="1">
        <v>0</v>
      </c>
      <c r="AB659" s="1">
        <v>0</v>
      </c>
      <c r="AC659" s="1">
        <v>0</v>
      </c>
      <c r="AD659" s="1">
        <v>0</v>
      </c>
    </row>
    <row r="660" spans="1:30" s="20" customFormat="1" ht="36" customHeight="1" x14ac:dyDescent="0.25">
      <c r="A660" s="2">
        <f t="shared" si="369"/>
        <v>632</v>
      </c>
      <c r="B660" s="6">
        <f t="shared" si="370"/>
        <v>632</v>
      </c>
      <c r="C660" s="19" t="s">
        <v>420</v>
      </c>
      <c r="D660" s="4">
        <f t="shared" si="371"/>
        <v>5091060</v>
      </c>
      <c r="E660" s="1">
        <f t="shared" si="379"/>
        <v>3265600</v>
      </c>
      <c r="F660" s="1">
        <f>804*832</f>
        <v>668928</v>
      </c>
      <c r="G660" s="1">
        <f>1693*832</f>
        <v>1408576</v>
      </c>
      <c r="H660" s="1">
        <f>390*832</f>
        <v>324480</v>
      </c>
      <c r="I660" s="1">
        <f>571*832</f>
        <v>475072</v>
      </c>
      <c r="J660" s="1">
        <f>467*832</f>
        <v>388544</v>
      </c>
      <c r="K660" s="1">
        <v>0</v>
      </c>
      <c r="L660" s="2">
        <v>0</v>
      </c>
      <c r="M660" s="1">
        <f t="shared" si="381"/>
        <v>0</v>
      </c>
      <c r="N660" s="1">
        <v>0</v>
      </c>
      <c r="O660" s="1">
        <v>0</v>
      </c>
      <c r="P660" s="1">
        <v>0</v>
      </c>
      <c r="Q660" s="1">
        <f t="shared" si="377"/>
        <v>0</v>
      </c>
      <c r="R660" s="1">
        <v>460</v>
      </c>
      <c r="S660" s="1">
        <f t="shared" si="378"/>
        <v>1725460</v>
      </c>
      <c r="T660" s="1">
        <v>0</v>
      </c>
      <c r="U660" s="1">
        <v>50000</v>
      </c>
      <c r="V660" s="1">
        <v>0</v>
      </c>
      <c r="W660" s="1">
        <v>50000</v>
      </c>
      <c r="X660" s="1">
        <v>0</v>
      </c>
      <c r="Y660" s="1">
        <v>0</v>
      </c>
      <c r="Z660" s="1">
        <v>0</v>
      </c>
      <c r="AA660" s="1">
        <v>0</v>
      </c>
      <c r="AB660" s="1">
        <v>0</v>
      </c>
      <c r="AC660" s="1">
        <v>0</v>
      </c>
      <c r="AD660" s="1">
        <v>0</v>
      </c>
    </row>
    <row r="661" spans="1:30" s="20" customFormat="1" ht="36" customHeight="1" x14ac:dyDescent="0.25">
      <c r="A661" s="2">
        <f t="shared" si="369"/>
        <v>633</v>
      </c>
      <c r="B661" s="6">
        <f t="shared" si="370"/>
        <v>633</v>
      </c>
      <c r="C661" s="19" t="s">
        <v>421</v>
      </c>
      <c r="D661" s="4">
        <f t="shared" si="371"/>
        <v>5086193</v>
      </c>
      <c r="E661" s="1">
        <f t="shared" si="379"/>
        <v>3260733</v>
      </c>
      <c r="F661" s="1">
        <f>804*830.76</f>
        <v>667931.04</v>
      </c>
      <c r="G661" s="1">
        <f>1693*830.76</f>
        <v>1406476.68</v>
      </c>
      <c r="H661" s="1">
        <f>390*830.76</f>
        <v>323996.40000000002</v>
      </c>
      <c r="I661" s="1">
        <f>571*830.76</f>
        <v>474363.96</v>
      </c>
      <c r="J661" s="1">
        <f>467*830.76</f>
        <v>387964.92</v>
      </c>
      <c r="K661" s="1">
        <v>0</v>
      </c>
      <c r="L661" s="2">
        <v>0</v>
      </c>
      <c r="M661" s="1">
        <f t="shared" si="381"/>
        <v>0</v>
      </c>
      <c r="N661" s="1">
        <v>0</v>
      </c>
      <c r="O661" s="1">
        <v>0</v>
      </c>
      <c r="P661" s="1">
        <v>0</v>
      </c>
      <c r="Q661" s="1">
        <f t="shared" si="377"/>
        <v>0</v>
      </c>
      <c r="R661" s="1">
        <v>460</v>
      </c>
      <c r="S661" s="1">
        <f t="shared" si="378"/>
        <v>1725460</v>
      </c>
      <c r="T661" s="1">
        <v>0</v>
      </c>
      <c r="U661" s="1">
        <v>50000</v>
      </c>
      <c r="V661" s="1">
        <v>0</v>
      </c>
      <c r="W661" s="1">
        <v>50000</v>
      </c>
      <c r="X661" s="1">
        <v>0</v>
      </c>
      <c r="Y661" s="1">
        <v>0</v>
      </c>
      <c r="Z661" s="1">
        <v>0</v>
      </c>
      <c r="AA661" s="1">
        <v>0</v>
      </c>
      <c r="AB661" s="1">
        <v>0</v>
      </c>
      <c r="AC661" s="1">
        <v>0</v>
      </c>
      <c r="AD661" s="1">
        <v>0</v>
      </c>
    </row>
    <row r="662" spans="1:30" s="20" customFormat="1" ht="36" customHeight="1" x14ac:dyDescent="0.25">
      <c r="A662" s="2">
        <f t="shared" si="369"/>
        <v>634</v>
      </c>
      <c r="B662" s="6">
        <f t="shared" si="370"/>
        <v>634</v>
      </c>
      <c r="C662" s="19" t="s">
        <v>422</v>
      </c>
      <c r="D662" s="4">
        <f t="shared" si="371"/>
        <v>3809155</v>
      </c>
      <c r="E662" s="1">
        <f t="shared" si="379"/>
        <v>1983694.9999999998</v>
      </c>
      <c r="F662" s="1">
        <f>804*505.4</f>
        <v>406341.6</v>
      </c>
      <c r="G662" s="1">
        <f>1693*505.4</f>
        <v>855642.2</v>
      </c>
      <c r="H662" s="1">
        <f>390*505.4</f>
        <v>197106</v>
      </c>
      <c r="I662" s="1">
        <f>571*505.4</f>
        <v>288583.39999999997</v>
      </c>
      <c r="J662" s="1">
        <f>467*505.4</f>
        <v>236021.8</v>
      </c>
      <c r="K662" s="1">
        <v>0</v>
      </c>
      <c r="L662" s="2">
        <v>0</v>
      </c>
      <c r="M662" s="1">
        <f t="shared" si="381"/>
        <v>0</v>
      </c>
      <c r="N662" s="1">
        <v>0</v>
      </c>
      <c r="O662" s="1">
        <v>0</v>
      </c>
      <c r="P662" s="1">
        <v>0</v>
      </c>
      <c r="Q662" s="1">
        <f t="shared" si="377"/>
        <v>0</v>
      </c>
      <c r="R662" s="1">
        <v>460</v>
      </c>
      <c r="S662" s="1">
        <f t="shared" si="378"/>
        <v>1725460</v>
      </c>
      <c r="T662" s="1">
        <v>0</v>
      </c>
      <c r="U662" s="1">
        <v>50000</v>
      </c>
      <c r="V662" s="1">
        <v>0</v>
      </c>
      <c r="W662" s="1">
        <v>50000</v>
      </c>
      <c r="X662" s="1">
        <v>0</v>
      </c>
      <c r="Y662" s="1">
        <v>0</v>
      </c>
      <c r="Z662" s="1">
        <v>0</v>
      </c>
      <c r="AA662" s="1">
        <v>0</v>
      </c>
      <c r="AB662" s="1">
        <v>0</v>
      </c>
      <c r="AC662" s="1">
        <v>0</v>
      </c>
      <c r="AD662" s="1">
        <v>0</v>
      </c>
    </row>
    <row r="663" spans="1:30" s="20" customFormat="1" ht="36" customHeight="1" x14ac:dyDescent="0.25">
      <c r="A663" s="2">
        <f t="shared" si="369"/>
        <v>635</v>
      </c>
      <c r="B663" s="6">
        <f t="shared" si="370"/>
        <v>635</v>
      </c>
      <c r="C663" s="19" t="s">
        <v>423</v>
      </c>
      <c r="D663" s="4">
        <f t="shared" si="371"/>
        <v>3288830</v>
      </c>
      <c r="E663" s="1">
        <f t="shared" si="379"/>
        <v>1838469.9999999998</v>
      </c>
      <c r="F663" s="1">
        <f>804*468.4</f>
        <v>376593.6</v>
      </c>
      <c r="G663" s="1">
        <f>1693*468.4</f>
        <v>793001.2</v>
      </c>
      <c r="H663" s="1">
        <f>390*468.4</f>
        <v>182676</v>
      </c>
      <c r="I663" s="1">
        <f>571*468.4</f>
        <v>267456.39999999997</v>
      </c>
      <c r="J663" s="1">
        <f>467*468.4</f>
        <v>218742.8</v>
      </c>
      <c r="K663" s="1">
        <v>0</v>
      </c>
      <c r="L663" s="2">
        <v>0</v>
      </c>
      <c r="M663" s="1">
        <f t="shared" si="381"/>
        <v>0</v>
      </c>
      <c r="N663" s="1">
        <v>0</v>
      </c>
      <c r="O663" s="1">
        <v>0</v>
      </c>
      <c r="P663" s="1">
        <v>0</v>
      </c>
      <c r="Q663" s="1">
        <f t="shared" si="377"/>
        <v>0</v>
      </c>
      <c r="R663" s="1">
        <v>360</v>
      </c>
      <c r="S663" s="1">
        <f t="shared" si="378"/>
        <v>1350360</v>
      </c>
      <c r="T663" s="1">
        <v>0</v>
      </c>
      <c r="U663" s="1">
        <v>50000</v>
      </c>
      <c r="V663" s="1">
        <v>0</v>
      </c>
      <c r="W663" s="1">
        <v>50000</v>
      </c>
      <c r="X663" s="1">
        <v>0</v>
      </c>
      <c r="Y663" s="1">
        <v>0</v>
      </c>
      <c r="Z663" s="1">
        <v>0</v>
      </c>
      <c r="AA663" s="1">
        <v>0</v>
      </c>
      <c r="AB663" s="1">
        <v>0</v>
      </c>
      <c r="AC663" s="1">
        <v>0</v>
      </c>
      <c r="AD663" s="1">
        <v>0</v>
      </c>
    </row>
    <row r="664" spans="1:30" s="20" customFormat="1" ht="36" customHeight="1" x14ac:dyDescent="0.25">
      <c r="A664" s="2">
        <f t="shared" si="369"/>
        <v>636</v>
      </c>
      <c r="B664" s="6">
        <f t="shared" si="370"/>
        <v>636</v>
      </c>
      <c r="C664" s="19" t="s">
        <v>424</v>
      </c>
      <c r="D664" s="4">
        <f t="shared" si="371"/>
        <v>3426597.5</v>
      </c>
      <c r="E664" s="1">
        <f t="shared" si="379"/>
        <v>1976237.5</v>
      </c>
      <c r="F664" s="1">
        <f>804*503.5</f>
        <v>404814</v>
      </c>
      <c r="G664" s="1">
        <f>1693*503.5</f>
        <v>852425.5</v>
      </c>
      <c r="H664" s="1">
        <f>390*503.5</f>
        <v>196365</v>
      </c>
      <c r="I664" s="1">
        <f>571*503.5</f>
        <v>287498.5</v>
      </c>
      <c r="J664" s="1">
        <f>467*503.5</f>
        <v>235134.5</v>
      </c>
      <c r="K664" s="1">
        <v>0</v>
      </c>
      <c r="L664" s="2">
        <v>0</v>
      </c>
      <c r="M664" s="1">
        <f t="shared" si="381"/>
        <v>0</v>
      </c>
      <c r="N664" s="1">
        <v>0</v>
      </c>
      <c r="O664" s="1">
        <v>0</v>
      </c>
      <c r="P664" s="1">
        <v>0</v>
      </c>
      <c r="Q664" s="1">
        <f t="shared" si="377"/>
        <v>0</v>
      </c>
      <c r="R664" s="1">
        <v>360</v>
      </c>
      <c r="S664" s="1">
        <f t="shared" si="378"/>
        <v>1350360</v>
      </c>
      <c r="T664" s="1">
        <v>0</v>
      </c>
      <c r="U664" s="1">
        <v>50000</v>
      </c>
      <c r="V664" s="1">
        <v>0</v>
      </c>
      <c r="W664" s="1">
        <v>50000</v>
      </c>
      <c r="X664" s="1">
        <v>0</v>
      </c>
      <c r="Y664" s="1">
        <v>0</v>
      </c>
      <c r="Z664" s="1">
        <v>0</v>
      </c>
      <c r="AA664" s="1">
        <v>0</v>
      </c>
      <c r="AB664" s="1">
        <v>0</v>
      </c>
      <c r="AC664" s="1">
        <v>0</v>
      </c>
      <c r="AD664" s="1">
        <v>0</v>
      </c>
    </row>
    <row r="665" spans="1:30" s="20" customFormat="1" ht="36" customHeight="1" x14ac:dyDescent="0.25">
      <c r="A665" s="2">
        <f t="shared" si="369"/>
        <v>637</v>
      </c>
      <c r="B665" s="6">
        <f t="shared" si="370"/>
        <v>637</v>
      </c>
      <c r="C665" s="19" t="s">
        <v>425</v>
      </c>
      <c r="D665" s="4">
        <f t="shared" si="371"/>
        <v>3304255</v>
      </c>
      <c r="E665" s="1">
        <f t="shared" si="379"/>
        <v>1966425</v>
      </c>
      <c r="F665" s="1">
        <f>804*501</f>
        <v>402804</v>
      </c>
      <c r="G665" s="1">
        <f>1693*501</f>
        <v>848193</v>
      </c>
      <c r="H665" s="1">
        <f>390*501</f>
        <v>195390</v>
      </c>
      <c r="I665" s="1">
        <f>571*501</f>
        <v>286071</v>
      </c>
      <c r="J665" s="1">
        <f>467*501</f>
        <v>233967</v>
      </c>
      <c r="K665" s="1">
        <v>0</v>
      </c>
      <c r="L665" s="2">
        <v>0</v>
      </c>
      <c r="M665" s="1">
        <f t="shared" si="381"/>
        <v>0</v>
      </c>
      <c r="N665" s="1">
        <v>0</v>
      </c>
      <c r="O665" s="1">
        <v>0</v>
      </c>
      <c r="P665" s="1">
        <v>0</v>
      </c>
      <c r="Q665" s="1">
        <f t="shared" si="377"/>
        <v>0</v>
      </c>
      <c r="R665" s="1">
        <v>330</v>
      </c>
      <c r="S665" s="1">
        <f t="shared" si="378"/>
        <v>1237830</v>
      </c>
      <c r="T665" s="1">
        <v>0</v>
      </c>
      <c r="U665" s="1">
        <v>50000</v>
      </c>
      <c r="V665" s="1">
        <v>0</v>
      </c>
      <c r="W665" s="1">
        <v>50000</v>
      </c>
      <c r="X665" s="1">
        <v>0</v>
      </c>
      <c r="Y665" s="1">
        <v>0</v>
      </c>
      <c r="Z665" s="1">
        <v>0</v>
      </c>
      <c r="AA665" s="1">
        <v>0</v>
      </c>
      <c r="AB665" s="1">
        <v>0</v>
      </c>
      <c r="AC665" s="1">
        <v>0</v>
      </c>
      <c r="AD665" s="1">
        <v>0</v>
      </c>
    </row>
    <row r="666" spans="1:30" s="20" customFormat="1" ht="36" customHeight="1" x14ac:dyDescent="0.25">
      <c r="A666" s="2">
        <f t="shared" si="369"/>
        <v>638</v>
      </c>
      <c r="B666" s="6">
        <f t="shared" si="370"/>
        <v>638</v>
      </c>
      <c r="C666" s="19" t="s">
        <v>426</v>
      </c>
      <c r="D666" s="4">
        <f t="shared" si="371"/>
        <v>5812475</v>
      </c>
      <c r="E666" s="1">
        <f t="shared" si="379"/>
        <v>3987014.9999999995</v>
      </c>
      <c r="F666" s="1">
        <f>804*1015.8</f>
        <v>816703.2</v>
      </c>
      <c r="G666" s="1">
        <f>1693*1015.8</f>
        <v>1719749.4</v>
      </c>
      <c r="H666" s="1">
        <f>390*1015.8</f>
        <v>396162</v>
      </c>
      <c r="I666" s="1">
        <f>571*1015.8</f>
        <v>580021.79999999993</v>
      </c>
      <c r="J666" s="1">
        <f>467*1015.8</f>
        <v>474378.6</v>
      </c>
      <c r="K666" s="1">
        <v>0</v>
      </c>
      <c r="L666" s="2">
        <v>0</v>
      </c>
      <c r="M666" s="1">
        <f t="shared" si="381"/>
        <v>0</v>
      </c>
      <c r="N666" s="1">
        <v>0</v>
      </c>
      <c r="O666" s="1">
        <v>0</v>
      </c>
      <c r="P666" s="1">
        <v>0</v>
      </c>
      <c r="Q666" s="1">
        <f t="shared" si="377"/>
        <v>0</v>
      </c>
      <c r="R666" s="1">
        <v>460</v>
      </c>
      <c r="S666" s="1">
        <f t="shared" si="378"/>
        <v>1725460</v>
      </c>
      <c r="T666" s="1">
        <v>0</v>
      </c>
      <c r="U666" s="1">
        <v>50000</v>
      </c>
      <c r="V666" s="1">
        <v>0</v>
      </c>
      <c r="W666" s="1">
        <v>50000</v>
      </c>
      <c r="X666" s="1">
        <v>0</v>
      </c>
      <c r="Y666" s="1">
        <v>0</v>
      </c>
      <c r="Z666" s="1">
        <v>0</v>
      </c>
      <c r="AA666" s="1">
        <v>0</v>
      </c>
      <c r="AB666" s="1">
        <v>0</v>
      </c>
      <c r="AC666" s="1">
        <v>0</v>
      </c>
      <c r="AD666" s="1">
        <v>0</v>
      </c>
    </row>
    <row r="667" spans="1:30" s="20" customFormat="1" ht="36" customHeight="1" x14ac:dyDescent="0.25">
      <c r="A667" s="2">
        <f t="shared" si="369"/>
        <v>639</v>
      </c>
      <c r="B667" s="6">
        <f t="shared" si="370"/>
        <v>639</v>
      </c>
      <c r="C667" s="19" t="s">
        <v>1818</v>
      </c>
      <c r="D667" s="4">
        <f t="shared" si="371"/>
        <v>20828276.5</v>
      </c>
      <c r="E667" s="1">
        <f t="shared" si="379"/>
        <v>17393637.5</v>
      </c>
      <c r="F667" s="1">
        <f>804*4431.5</f>
        <v>3562926</v>
      </c>
      <c r="G667" s="1">
        <f>1693*4431.5</f>
        <v>7502529.5</v>
      </c>
      <c r="H667" s="1">
        <f>390*4431.5</f>
        <v>1728285</v>
      </c>
      <c r="I667" s="1">
        <f>571*4431.5</f>
        <v>2530386.5</v>
      </c>
      <c r="J667" s="1">
        <f>467*4431.5</f>
        <v>2069510.5</v>
      </c>
      <c r="K667" s="1">
        <v>0</v>
      </c>
      <c r="L667" s="2">
        <v>0</v>
      </c>
      <c r="M667" s="1">
        <f t="shared" si="381"/>
        <v>0</v>
      </c>
      <c r="N667" s="1">
        <v>0</v>
      </c>
      <c r="O667" s="1">
        <v>0</v>
      </c>
      <c r="P667" s="1">
        <v>0</v>
      </c>
      <c r="Q667" s="1">
        <f t="shared" si="377"/>
        <v>0</v>
      </c>
      <c r="R667" s="1">
        <v>889</v>
      </c>
      <c r="S667" s="1">
        <f t="shared" si="378"/>
        <v>3334639</v>
      </c>
      <c r="T667" s="1">
        <v>0</v>
      </c>
      <c r="U667" s="1">
        <v>50000</v>
      </c>
      <c r="V667" s="1">
        <v>0</v>
      </c>
      <c r="W667" s="1">
        <v>50000</v>
      </c>
      <c r="X667" s="1">
        <v>0</v>
      </c>
      <c r="Y667" s="1">
        <v>0</v>
      </c>
      <c r="Z667" s="1">
        <v>0</v>
      </c>
      <c r="AA667" s="1">
        <v>0</v>
      </c>
      <c r="AB667" s="1">
        <v>0</v>
      </c>
      <c r="AC667" s="1">
        <v>0</v>
      </c>
      <c r="AD667" s="1">
        <v>0</v>
      </c>
    </row>
    <row r="668" spans="1:30" s="20" customFormat="1" ht="36" customHeight="1" x14ac:dyDescent="0.25">
      <c r="A668" s="2">
        <f t="shared" si="369"/>
        <v>640</v>
      </c>
      <c r="B668" s="6">
        <f>A668</f>
        <v>640</v>
      </c>
      <c r="C668" s="19" t="s">
        <v>2289</v>
      </c>
      <c r="D668" s="4">
        <f t="shared" si="371"/>
        <v>7200000</v>
      </c>
      <c r="E668" s="1">
        <f>SUM(F668:K668)</f>
        <v>0</v>
      </c>
      <c r="F668" s="1">
        <v>0</v>
      </c>
      <c r="G668" s="1">
        <v>0</v>
      </c>
      <c r="H668" s="1">
        <v>0</v>
      </c>
      <c r="I668" s="1">
        <v>0</v>
      </c>
      <c r="J668" s="1">
        <v>0</v>
      </c>
      <c r="K668" s="1">
        <v>0</v>
      </c>
      <c r="L668" s="2">
        <v>2</v>
      </c>
      <c r="M668" s="1">
        <f t="shared" si="381"/>
        <v>7000000</v>
      </c>
      <c r="N668" s="1">
        <v>0</v>
      </c>
      <c r="O668" s="1">
        <v>0</v>
      </c>
      <c r="P668" s="1">
        <v>0</v>
      </c>
      <c r="Q668" s="1">
        <f>P668*1400</f>
        <v>0</v>
      </c>
      <c r="R668" s="1">
        <v>0</v>
      </c>
      <c r="S668" s="1">
        <f>R668*3751</f>
        <v>0</v>
      </c>
      <c r="T668" s="1">
        <v>0</v>
      </c>
      <c r="U668" s="1">
        <v>200000</v>
      </c>
      <c r="V668" s="1">
        <v>0</v>
      </c>
      <c r="W668" s="1">
        <v>0</v>
      </c>
      <c r="X668" s="1">
        <v>0</v>
      </c>
      <c r="Y668" s="1">
        <v>0</v>
      </c>
      <c r="Z668" s="1">
        <v>0</v>
      </c>
      <c r="AA668" s="1">
        <v>0</v>
      </c>
      <c r="AB668" s="1">
        <v>0</v>
      </c>
      <c r="AC668" s="1">
        <v>0</v>
      </c>
      <c r="AD668" s="1">
        <v>0</v>
      </c>
    </row>
    <row r="669" spans="1:30" s="20" customFormat="1" ht="36" customHeight="1" x14ac:dyDescent="0.25">
      <c r="A669" s="2">
        <f t="shared" si="369"/>
        <v>641</v>
      </c>
      <c r="B669" s="6">
        <f>A669</f>
        <v>641</v>
      </c>
      <c r="C669" s="19" t="s">
        <v>2290</v>
      </c>
      <c r="D669" s="4">
        <f t="shared" si="371"/>
        <v>14200000</v>
      </c>
      <c r="E669" s="1">
        <f>SUM(F669:K669)</f>
        <v>0</v>
      </c>
      <c r="F669" s="1">
        <v>0</v>
      </c>
      <c r="G669" s="1">
        <v>0</v>
      </c>
      <c r="H669" s="1">
        <v>0</v>
      </c>
      <c r="I669" s="1">
        <v>0</v>
      </c>
      <c r="J669" s="1">
        <v>0</v>
      </c>
      <c r="K669" s="1">
        <v>0</v>
      </c>
      <c r="L669" s="2">
        <v>4</v>
      </c>
      <c r="M669" s="1">
        <f t="shared" ref="M669:M670" si="390">L669*3500000</f>
        <v>14000000</v>
      </c>
      <c r="N669" s="1">
        <v>0</v>
      </c>
      <c r="O669" s="1">
        <v>0</v>
      </c>
      <c r="P669" s="1">
        <v>0</v>
      </c>
      <c r="Q669" s="1">
        <f>P669*1400</f>
        <v>0</v>
      </c>
      <c r="R669" s="1">
        <v>0</v>
      </c>
      <c r="S669" s="1">
        <f>R669*3751</f>
        <v>0</v>
      </c>
      <c r="T669" s="1">
        <v>0</v>
      </c>
      <c r="U669" s="1">
        <v>200000</v>
      </c>
      <c r="V669" s="1">
        <v>0</v>
      </c>
      <c r="W669" s="1">
        <v>0</v>
      </c>
      <c r="X669" s="1">
        <v>0</v>
      </c>
      <c r="Y669" s="1">
        <v>0</v>
      </c>
      <c r="Z669" s="1">
        <v>0</v>
      </c>
      <c r="AA669" s="1">
        <v>0</v>
      </c>
      <c r="AB669" s="1">
        <v>0</v>
      </c>
      <c r="AC669" s="1">
        <v>0</v>
      </c>
      <c r="AD669" s="1">
        <v>0</v>
      </c>
    </row>
    <row r="670" spans="1:30" s="20" customFormat="1" ht="36" customHeight="1" x14ac:dyDescent="0.25">
      <c r="A670" s="2">
        <f t="shared" si="369"/>
        <v>642</v>
      </c>
      <c r="B670" s="6">
        <f>A670</f>
        <v>642</v>
      </c>
      <c r="C670" s="19" t="s">
        <v>2291</v>
      </c>
      <c r="D670" s="4">
        <f t="shared" si="371"/>
        <v>10700000</v>
      </c>
      <c r="E670" s="1">
        <f>SUM(F670:K670)</f>
        <v>0</v>
      </c>
      <c r="F670" s="1">
        <v>0</v>
      </c>
      <c r="G670" s="1">
        <v>0</v>
      </c>
      <c r="H670" s="1">
        <v>0</v>
      </c>
      <c r="I670" s="1">
        <v>0</v>
      </c>
      <c r="J670" s="1">
        <v>0</v>
      </c>
      <c r="K670" s="1">
        <v>0</v>
      </c>
      <c r="L670" s="2">
        <v>3</v>
      </c>
      <c r="M670" s="1">
        <f t="shared" si="390"/>
        <v>10500000</v>
      </c>
      <c r="N670" s="1">
        <v>0</v>
      </c>
      <c r="O670" s="1">
        <v>0</v>
      </c>
      <c r="P670" s="1">
        <v>0</v>
      </c>
      <c r="Q670" s="1">
        <f>P670*1400</f>
        <v>0</v>
      </c>
      <c r="R670" s="1">
        <v>0</v>
      </c>
      <c r="S670" s="1">
        <f>R670*3751</f>
        <v>0</v>
      </c>
      <c r="T670" s="1">
        <v>0</v>
      </c>
      <c r="U670" s="1">
        <v>200000</v>
      </c>
      <c r="V670" s="1">
        <v>0</v>
      </c>
      <c r="W670" s="1">
        <v>0</v>
      </c>
      <c r="X670" s="1">
        <v>0</v>
      </c>
      <c r="Y670" s="1">
        <v>0</v>
      </c>
      <c r="Z670" s="1">
        <v>0</v>
      </c>
      <c r="AA670" s="1">
        <v>0</v>
      </c>
      <c r="AB670" s="1">
        <v>0</v>
      </c>
      <c r="AC670" s="1">
        <v>0</v>
      </c>
      <c r="AD670" s="1">
        <v>0</v>
      </c>
    </row>
    <row r="671" spans="1:30" s="20" customFormat="1" ht="36" customHeight="1" x14ac:dyDescent="0.25">
      <c r="A671" s="2">
        <f t="shared" si="369"/>
        <v>643</v>
      </c>
      <c r="B671" s="6">
        <f>A671</f>
        <v>643</v>
      </c>
      <c r="C671" s="19" t="s">
        <v>2292</v>
      </c>
      <c r="D671" s="4">
        <f t="shared" si="371"/>
        <v>31700000</v>
      </c>
      <c r="E671" s="1">
        <f>SUM(F671:K671)</f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0</v>
      </c>
      <c r="L671" s="2">
        <v>9</v>
      </c>
      <c r="M671" s="1">
        <f t="shared" si="381"/>
        <v>31500000</v>
      </c>
      <c r="N671" s="1">
        <v>0</v>
      </c>
      <c r="O671" s="1">
        <v>0</v>
      </c>
      <c r="P671" s="1">
        <v>0</v>
      </c>
      <c r="Q671" s="1">
        <f>P671*1400</f>
        <v>0</v>
      </c>
      <c r="R671" s="1">
        <v>0</v>
      </c>
      <c r="S671" s="1">
        <f>R671*3751</f>
        <v>0</v>
      </c>
      <c r="T671" s="1">
        <v>0</v>
      </c>
      <c r="U671" s="1">
        <v>200000</v>
      </c>
      <c r="V671" s="1">
        <v>0</v>
      </c>
      <c r="W671" s="1">
        <v>0</v>
      </c>
      <c r="X671" s="1">
        <v>0</v>
      </c>
      <c r="Y671" s="1">
        <v>0</v>
      </c>
      <c r="Z671" s="1">
        <v>0</v>
      </c>
      <c r="AA671" s="1">
        <v>0</v>
      </c>
      <c r="AB671" s="1">
        <v>0</v>
      </c>
      <c r="AC671" s="1">
        <v>0</v>
      </c>
      <c r="AD671" s="1">
        <v>0</v>
      </c>
    </row>
    <row r="672" spans="1:30" s="20" customFormat="1" ht="36" customHeight="1" x14ac:dyDescent="0.25">
      <c r="A672" s="2">
        <f t="shared" si="369"/>
        <v>644</v>
      </c>
      <c r="B672" s="6">
        <f t="shared" si="370"/>
        <v>644</v>
      </c>
      <c r="C672" s="19" t="s">
        <v>1726</v>
      </c>
      <c r="D672" s="4">
        <f t="shared" si="371"/>
        <v>7200000</v>
      </c>
      <c r="E672" s="1">
        <f t="shared" si="379"/>
        <v>0</v>
      </c>
      <c r="F672" s="1">
        <v>0</v>
      </c>
      <c r="G672" s="1">
        <v>0</v>
      </c>
      <c r="H672" s="1">
        <v>0</v>
      </c>
      <c r="I672" s="1">
        <v>0</v>
      </c>
      <c r="J672" s="1">
        <v>0</v>
      </c>
      <c r="K672" s="1">
        <v>0</v>
      </c>
      <c r="L672" s="2">
        <v>2</v>
      </c>
      <c r="M672" s="1">
        <f t="shared" si="381"/>
        <v>7000000</v>
      </c>
      <c r="N672" s="1">
        <v>0</v>
      </c>
      <c r="O672" s="1">
        <v>0</v>
      </c>
      <c r="P672" s="1">
        <v>0</v>
      </c>
      <c r="Q672" s="1">
        <f t="shared" si="377"/>
        <v>0</v>
      </c>
      <c r="R672" s="1">
        <v>0</v>
      </c>
      <c r="S672" s="1">
        <f t="shared" si="378"/>
        <v>0</v>
      </c>
      <c r="T672" s="1">
        <v>0</v>
      </c>
      <c r="U672" s="1">
        <v>200000</v>
      </c>
      <c r="V672" s="1">
        <v>0</v>
      </c>
      <c r="W672" s="1">
        <v>0</v>
      </c>
      <c r="X672" s="1">
        <v>0</v>
      </c>
      <c r="Y672" s="1">
        <v>0</v>
      </c>
      <c r="Z672" s="1">
        <v>0</v>
      </c>
      <c r="AA672" s="1">
        <v>0</v>
      </c>
      <c r="AB672" s="1">
        <v>0</v>
      </c>
      <c r="AC672" s="1">
        <v>0</v>
      </c>
      <c r="AD672" s="1">
        <v>0</v>
      </c>
    </row>
    <row r="673" spans="1:30" s="20" customFormat="1" ht="36" customHeight="1" x14ac:dyDescent="0.25">
      <c r="A673" s="2">
        <f t="shared" si="369"/>
        <v>645</v>
      </c>
      <c r="B673" s="6">
        <f t="shared" ref="B673:B678" si="391">A673</f>
        <v>645</v>
      </c>
      <c r="C673" s="19" t="s">
        <v>1727</v>
      </c>
      <c r="D673" s="4">
        <f t="shared" ref="D673:D736" si="392">E673+M673+O673+Q673+S673+T673+U673+V673+W673+X673+Z673+AA673+AB673+AC673+AD673</f>
        <v>10700000</v>
      </c>
      <c r="E673" s="1">
        <f t="shared" ref="E673:E678" si="393">SUM(F673:K673)</f>
        <v>0</v>
      </c>
      <c r="F673" s="1">
        <v>0</v>
      </c>
      <c r="G673" s="1">
        <v>0</v>
      </c>
      <c r="H673" s="1">
        <v>0</v>
      </c>
      <c r="I673" s="1">
        <v>0</v>
      </c>
      <c r="J673" s="1">
        <v>0</v>
      </c>
      <c r="K673" s="1">
        <v>0</v>
      </c>
      <c r="L673" s="2">
        <v>3</v>
      </c>
      <c r="M673" s="1">
        <f t="shared" si="381"/>
        <v>10500000</v>
      </c>
      <c r="N673" s="1">
        <v>0</v>
      </c>
      <c r="O673" s="1">
        <v>0</v>
      </c>
      <c r="P673" s="1">
        <v>0</v>
      </c>
      <c r="Q673" s="1">
        <f t="shared" ref="Q673:Q678" si="394">P673*1400</f>
        <v>0</v>
      </c>
      <c r="R673" s="1">
        <v>0</v>
      </c>
      <c r="S673" s="1">
        <f t="shared" ref="S673:S678" si="395">R673*3751</f>
        <v>0</v>
      </c>
      <c r="T673" s="1">
        <v>0</v>
      </c>
      <c r="U673" s="1">
        <v>200000</v>
      </c>
      <c r="V673" s="1">
        <v>0</v>
      </c>
      <c r="W673" s="1">
        <v>0</v>
      </c>
      <c r="X673" s="1">
        <v>0</v>
      </c>
      <c r="Y673" s="1">
        <v>0</v>
      </c>
      <c r="Z673" s="1">
        <v>0</v>
      </c>
      <c r="AA673" s="1">
        <v>0</v>
      </c>
      <c r="AB673" s="1">
        <v>0</v>
      </c>
      <c r="AC673" s="1">
        <v>0</v>
      </c>
      <c r="AD673" s="1">
        <v>0</v>
      </c>
    </row>
    <row r="674" spans="1:30" s="20" customFormat="1" ht="36" customHeight="1" x14ac:dyDescent="0.25">
      <c r="A674" s="2">
        <f t="shared" si="369"/>
        <v>646</v>
      </c>
      <c r="B674" s="6">
        <f t="shared" si="391"/>
        <v>646</v>
      </c>
      <c r="C674" s="19" t="s">
        <v>1728</v>
      </c>
      <c r="D674" s="4">
        <f t="shared" si="392"/>
        <v>3700000</v>
      </c>
      <c r="E674" s="1">
        <f t="shared" si="393"/>
        <v>0</v>
      </c>
      <c r="F674" s="1">
        <v>0</v>
      </c>
      <c r="G674" s="1">
        <v>0</v>
      </c>
      <c r="H674" s="1">
        <v>0</v>
      </c>
      <c r="I674" s="1">
        <v>0</v>
      </c>
      <c r="J674" s="1">
        <v>0</v>
      </c>
      <c r="K674" s="1">
        <v>0</v>
      </c>
      <c r="L674" s="2">
        <v>1</v>
      </c>
      <c r="M674" s="1">
        <f t="shared" si="381"/>
        <v>3500000</v>
      </c>
      <c r="N674" s="1">
        <v>0</v>
      </c>
      <c r="O674" s="1">
        <v>0</v>
      </c>
      <c r="P674" s="1">
        <v>0</v>
      </c>
      <c r="Q674" s="1">
        <f t="shared" si="394"/>
        <v>0</v>
      </c>
      <c r="R674" s="1">
        <v>0</v>
      </c>
      <c r="S674" s="1">
        <f t="shared" si="395"/>
        <v>0</v>
      </c>
      <c r="T674" s="1">
        <v>0</v>
      </c>
      <c r="U674" s="1">
        <v>200000</v>
      </c>
      <c r="V674" s="1">
        <v>0</v>
      </c>
      <c r="W674" s="1">
        <v>0</v>
      </c>
      <c r="X674" s="1">
        <v>0</v>
      </c>
      <c r="Y674" s="1">
        <v>0</v>
      </c>
      <c r="Z674" s="1">
        <v>0</v>
      </c>
      <c r="AA674" s="1">
        <v>0</v>
      </c>
      <c r="AB674" s="1">
        <v>0</v>
      </c>
      <c r="AC674" s="1">
        <v>0</v>
      </c>
      <c r="AD674" s="1">
        <v>0</v>
      </c>
    </row>
    <row r="675" spans="1:30" s="20" customFormat="1" ht="36" customHeight="1" x14ac:dyDescent="0.25">
      <c r="A675" s="2">
        <f t="shared" si="369"/>
        <v>647</v>
      </c>
      <c r="B675" s="6">
        <f t="shared" si="391"/>
        <v>647</v>
      </c>
      <c r="C675" s="19" t="s">
        <v>1729</v>
      </c>
      <c r="D675" s="4">
        <f t="shared" si="392"/>
        <v>3700000</v>
      </c>
      <c r="E675" s="1">
        <f t="shared" si="393"/>
        <v>0</v>
      </c>
      <c r="F675" s="1">
        <v>0</v>
      </c>
      <c r="G675" s="1">
        <v>0</v>
      </c>
      <c r="H675" s="1">
        <v>0</v>
      </c>
      <c r="I675" s="1">
        <v>0</v>
      </c>
      <c r="J675" s="1">
        <v>0</v>
      </c>
      <c r="K675" s="1">
        <v>0</v>
      </c>
      <c r="L675" s="2">
        <v>1</v>
      </c>
      <c r="M675" s="1">
        <f t="shared" si="381"/>
        <v>3500000</v>
      </c>
      <c r="N675" s="1">
        <v>0</v>
      </c>
      <c r="O675" s="1">
        <v>0</v>
      </c>
      <c r="P675" s="1">
        <v>0</v>
      </c>
      <c r="Q675" s="1">
        <f t="shared" si="394"/>
        <v>0</v>
      </c>
      <c r="R675" s="1">
        <v>0</v>
      </c>
      <c r="S675" s="1">
        <f t="shared" si="395"/>
        <v>0</v>
      </c>
      <c r="T675" s="1">
        <v>0</v>
      </c>
      <c r="U675" s="1">
        <v>200000</v>
      </c>
      <c r="V675" s="1">
        <v>0</v>
      </c>
      <c r="W675" s="1">
        <v>0</v>
      </c>
      <c r="X675" s="1">
        <v>0</v>
      </c>
      <c r="Y675" s="1">
        <v>0</v>
      </c>
      <c r="Z675" s="1">
        <v>0</v>
      </c>
      <c r="AA675" s="1">
        <v>0</v>
      </c>
      <c r="AB675" s="1">
        <v>0</v>
      </c>
      <c r="AC675" s="1">
        <v>0</v>
      </c>
      <c r="AD675" s="1">
        <v>0</v>
      </c>
    </row>
    <row r="676" spans="1:30" s="20" customFormat="1" ht="36" customHeight="1" x14ac:dyDescent="0.25">
      <c r="A676" s="2">
        <f t="shared" si="369"/>
        <v>648</v>
      </c>
      <c r="B676" s="6">
        <f t="shared" si="391"/>
        <v>648</v>
      </c>
      <c r="C676" s="19" t="s">
        <v>1730</v>
      </c>
      <c r="D676" s="4">
        <f t="shared" si="392"/>
        <v>7200000</v>
      </c>
      <c r="E676" s="1">
        <f t="shared" si="393"/>
        <v>0</v>
      </c>
      <c r="F676" s="1">
        <v>0</v>
      </c>
      <c r="G676" s="1">
        <v>0</v>
      </c>
      <c r="H676" s="1">
        <v>0</v>
      </c>
      <c r="I676" s="1">
        <v>0</v>
      </c>
      <c r="J676" s="1">
        <v>0</v>
      </c>
      <c r="K676" s="1">
        <v>0</v>
      </c>
      <c r="L676" s="2">
        <v>2</v>
      </c>
      <c r="M676" s="1">
        <f t="shared" si="381"/>
        <v>7000000</v>
      </c>
      <c r="N676" s="1">
        <v>0</v>
      </c>
      <c r="O676" s="1">
        <v>0</v>
      </c>
      <c r="P676" s="1">
        <v>0</v>
      </c>
      <c r="Q676" s="1">
        <f t="shared" si="394"/>
        <v>0</v>
      </c>
      <c r="R676" s="1">
        <v>0</v>
      </c>
      <c r="S676" s="1">
        <f t="shared" si="395"/>
        <v>0</v>
      </c>
      <c r="T676" s="1">
        <v>0</v>
      </c>
      <c r="U676" s="1">
        <v>200000</v>
      </c>
      <c r="V676" s="1">
        <v>0</v>
      </c>
      <c r="W676" s="1">
        <v>0</v>
      </c>
      <c r="X676" s="1">
        <v>0</v>
      </c>
      <c r="Y676" s="1">
        <v>0</v>
      </c>
      <c r="Z676" s="1">
        <v>0</v>
      </c>
      <c r="AA676" s="1">
        <v>0</v>
      </c>
      <c r="AB676" s="1">
        <v>0</v>
      </c>
      <c r="AC676" s="1">
        <v>0</v>
      </c>
      <c r="AD676" s="1">
        <v>0</v>
      </c>
    </row>
    <row r="677" spans="1:30" s="20" customFormat="1" ht="36" customHeight="1" x14ac:dyDescent="0.25">
      <c r="A677" s="2">
        <f t="shared" si="369"/>
        <v>649</v>
      </c>
      <c r="B677" s="6">
        <f t="shared" si="391"/>
        <v>649</v>
      </c>
      <c r="C677" s="19" t="s">
        <v>1731</v>
      </c>
      <c r="D677" s="4">
        <f t="shared" si="392"/>
        <v>3700000</v>
      </c>
      <c r="E677" s="1">
        <f t="shared" si="393"/>
        <v>0</v>
      </c>
      <c r="F677" s="1">
        <v>0</v>
      </c>
      <c r="G677" s="1">
        <v>0</v>
      </c>
      <c r="H677" s="1">
        <v>0</v>
      </c>
      <c r="I677" s="1">
        <v>0</v>
      </c>
      <c r="J677" s="1">
        <v>0</v>
      </c>
      <c r="K677" s="1">
        <v>0</v>
      </c>
      <c r="L677" s="2">
        <v>1</v>
      </c>
      <c r="M677" s="1">
        <f t="shared" si="381"/>
        <v>3500000</v>
      </c>
      <c r="N677" s="1">
        <v>0</v>
      </c>
      <c r="O677" s="1">
        <v>0</v>
      </c>
      <c r="P677" s="1">
        <v>0</v>
      </c>
      <c r="Q677" s="1">
        <f t="shared" si="394"/>
        <v>0</v>
      </c>
      <c r="R677" s="1">
        <v>0</v>
      </c>
      <c r="S677" s="1">
        <f t="shared" si="395"/>
        <v>0</v>
      </c>
      <c r="T677" s="1">
        <v>0</v>
      </c>
      <c r="U677" s="1">
        <v>200000</v>
      </c>
      <c r="V677" s="1">
        <v>0</v>
      </c>
      <c r="W677" s="1">
        <v>0</v>
      </c>
      <c r="X677" s="1">
        <v>0</v>
      </c>
      <c r="Y677" s="1">
        <v>0</v>
      </c>
      <c r="Z677" s="1">
        <v>0</v>
      </c>
      <c r="AA677" s="1">
        <v>0</v>
      </c>
      <c r="AB677" s="1">
        <v>0</v>
      </c>
      <c r="AC677" s="1">
        <v>0</v>
      </c>
      <c r="AD677" s="1">
        <v>0</v>
      </c>
    </row>
    <row r="678" spans="1:30" s="20" customFormat="1" ht="36" customHeight="1" x14ac:dyDescent="0.25">
      <c r="A678" s="2">
        <f t="shared" si="369"/>
        <v>650</v>
      </c>
      <c r="B678" s="6">
        <f t="shared" si="391"/>
        <v>650</v>
      </c>
      <c r="C678" s="19" t="s">
        <v>1732</v>
      </c>
      <c r="D678" s="4">
        <f t="shared" si="392"/>
        <v>3700000</v>
      </c>
      <c r="E678" s="1">
        <f t="shared" si="393"/>
        <v>0</v>
      </c>
      <c r="F678" s="1">
        <v>0</v>
      </c>
      <c r="G678" s="1">
        <v>0</v>
      </c>
      <c r="H678" s="1">
        <v>0</v>
      </c>
      <c r="I678" s="1">
        <v>0</v>
      </c>
      <c r="J678" s="1">
        <v>0</v>
      </c>
      <c r="K678" s="1">
        <v>0</v>
      </c>
      <c r="L678" s="2">
        <v>1</v>
      </c>
      <c r="M678" s="1">
        <f t="shared" si="381"/>
        <v>3500000</v>
      </c>
      <c r="N678" s="1">
        <v>0</v>
      </c>
      <c r="O678" s="1">
        <v>0</v>
      </c>
      <c r="P678" s="1">
        <v>0</v>
      </c>
      <c r="Q678" s="1">
        <f t="shared" si="394"/>
        <v>0</v>
      </c>
      <c r="R678" s="1">
        <v>0</v>
      </c>
      <c r="S678" s="1">
        <f t="shared" si="395"/>
        <v>0</v>
      </c>
      <c r="T678" s="1">
        <v>0</v>
      </c>
      <c r="U678" s="1">
        <v>200000</v>
      </c>
      <c r="V678" s="1">
        <v>0</v>
      </c>
      <c r="W678" s="1">
        <v>0</v>
      </c>
      <c r="X678" s="1">
        <v>0</v>
      </c>
      <c r="Y678" s="1">
        <v>0</v>
      </c>
      <c r="Z678" s="1">
        <v>0</v>
      </c>
      <c r="AA678" s="1">
        <v>0</v>
      </c>
      <c r="AB678" s="1">
        <v>0</v>
      </c>
      <c r="AC678" s="1">
        <v>0</v>
      </c>
      <c r="AD678" s="1">
        <v>0</v>
      </c>
    </row>
    <row r="679" spans="1:30" s="20" customFormat="1" ht="36" customHeight="1" x14ac:dyDescent="0.25">
      <c r="A679" s="2">
        <f t="shared" ref="A679:A813" si="396">ROW()-ROW($A$11)-17</f>
        <v>651</v>
      </c>
      <c r="B679" s="6">
        <f t="shared" si="370"/>
        <v>651</v>
      </c>
      <c r="C679" s="19" t="s">
        <v>427</v>
      </c>
      <c r="D679" s="4">
        <f t="shared" si="392"/>
        <v>3176807.4999999995</v>
      </c>
      <c r="E679" s="1">
        <f t="shared" si="379"/>
        <v>3076807.4999999995</v>
      </c>
      <c r="F679" s="1">
        <f>804*783.9</f>
        <v>630255.6</v>
      </c>
      <c r="G679" s="1">
        <f>1693*783.9</f>
        <v>1327142.7</v>
      </c>
      <c r="H679" s="1">
        <f>390*783.9</f>
        <v>305721</v>
      </c>
      <c r="I679" s="1">
        <f>571*783.9</f>
        <v>447606.89999999997</v>
      </c>
      <c r="J679" s="1">
        <f>467*783.9</f>
        <v>366081.3</v>
      </c>
      <c r="K679" s="1">
        <v>0</v>
      </c>
      <c r="L679" s="2">
        <v>0</v>
      </c>
      <c r="M679" s="1">
        <f t="shared" si="381"/>
        <v>0</v>
      </c>
      <c r="N679" s="1">
        <v>0</v>
      </c>
      <c r="O679" s="1">
        <v>0</v>
      </c>
      <c r="P679" s="1">
        <v>0</v>
      </c>
      <c r="Q679" s="1">
        <f t="shared" si="377"/>
        <v>0</v>
      </c>
      <c r="R679" s="1">
        <v>0</v>
      </c>
      <c r="S679" s="1">
        <f t="shared" si="378"/>
        <v>0</v>
      </c>
      <c r="T679" s="1">
        <v>0</v>
      </c>
      <c r="U679" s="1">
        <v>50000</v>
      </c>
      <c r="V679" s="1">
        <v>0</v>
      </c>
      <c r="W679" s="1">
        <v>50000</v>
      </c>
      <c r="X679" s="1">
        <v>0</v>
      </c>
      <c r="Y679" s="1">
        <v>0</v>
      </c>
      <c r="Z679" s="1">
        <v>0</v>
      </c>
      <c r="AA679" s="1">
        <v>0</v>
      </c>
      <c r="AB679" s="1">
        <v>0</v>
      </c>
      <c r="AC679" s="1">
        <v>0</v>
      </c>
      <c r="AD679" s="1">
        <v>0</v>
      </c>
    </row>
    <row r="680" spans="1:30" s="20" customFormat="1" ht="36" customHeight="1" x14ac:dyDescent="0.25">
      <c r="A680" s="2">
        <f t="shared" si="396"/>
        <v>652</v>
      </c>
      <c r="B680" s="6">
        <f>A680</f>
        <v>652</v>
      </c>
      <c r="C680" s="19" t="s">
        <v>1636</v>
      </c>
      <c r="D680" s="4">
        <f t="shared" si="392"/>
        <v>1387870</v>
      </c>
      <c r="E680" s="1">
        <f t="shared" si="379"/>
        <v>0</v>
      </c>
      <c r="F680" s="1">
        <v>0</v>
      </c>
      <c r="G680" s="1">
        <v>0</v>
      </c>
      <c r="H680" s="1">
        <v>0</v>
      </c>
      <c r="I680" s="1">
        <v>0</v>
      </c>
      <c r="J680" s="1">
        <v>0</v>
      </c>
      <c r="K680" s="1">
        <v>0</v>
      </c>
      <c r="L680" s="2">
        <v>0</v>
      </c>
      <c r="M680" s="1">
        <f t="shared" si="381"/>
        <v>0</v>
      </c>
      <c r="N680" s="1">
        <v>0</v>
      </c>
      <c r="O680" s="1">
        <v>0</v>
      </c>
      <c r="P680" s="1">
        <v>0</v>
      </c>
      <c r="Q680" s="1">
        <f t="shared" si="377"/>
        <v>0</v>
      </c>
      <c r="R680" s="1">
        <v>370</v>
      </c>
      <c r="S680" s="1">
        <f t="shared" si="378"/>
        <v>1387870</v>
      </c>
      <c r="T680" s="1">
        <v>0</v>
      </c>
      <c r="U680" s="1">
        <v>0</v>
      </c>
      <c r="V680" s="1">
        <v>0</v>
      </c>
      <c r="W680" s="1">
        <v>0</v>
      </c>
      <c r="X680" s="1">
        <v>0</v>
      </c>
      <c r="Y680" s="1">
        <v>0</v>
      </c>
      <c r="Z680" s="1">
        <v>0</v>
      </c>
      <c r="AA680" s="1">
        <v>0</v>
      </c>
      <c r="AB680" s="1">
        <v>0</v>
      </c>
      <c r="AC680" s="1">
        <v>0</v>
      </c>
      <c r="AD680" s="1">
        <v>0</v>
      </c>
    </row>
    <row r="681" spans="1:30" s="20" customFormat="1" ht="36" customHeight="1" x14ac:dyDescent="0.25">
      <c r="A681" s="2">
        <f t="shared" si="396"/>
        <v>653</v>
      </c>
      <c r="B681" s="6">
        <f t="shared" si="370"/>
        <v>653</v>
      </c>
      <c r="C681" s="19" t="s">
        <v>428</v>
      </c>
      <c r="D681" s="4">
        <f t="shared" si="392"/>
        <v>19330687.5</v>
      </c>
      <c r="E681" s="1">
        <f t="shared" si="379"/>
        <v>16492457.5</v>
      </c>
      <c r="F681" s="1">
        <f>804*4201.9</f>
        <v>3378327.5999999996</v>
      </c>
      <c r="G681" s="1">
        <f>1693*4201.9</f>
        <v>7113816.6999999993</v>
      </c>
      <c r="H681" s="1">
        <f>390*4201.9</f>
        <v>1638740.9999999998</v>
      </c>
      <c r="I681" s="1">
        <f>571*4201.9</f>
        <v>2399284.9</v>
      </c>
      <c r="J681" s="1">
        <f>467*4201.9</f>
        <v>1962287.2999999998</v>
      </c>
      <c r="K681" s="1">
        <v>0</v>
      </c>
      <c r="L681" s="2">
        <v>0</v>
      </c>
      <c r="M681" s="1">
        <f t="shared" si="381"/>
        <v>0</v>
      </c>
      <c r="N681" s="1">
        <v>0</v>
      </c>
      <c r="O681" s="1">
        <v>0</v>
      </c>
      <c r="P681" s="1">
        <v>0</v>
      </c>
      <c r="Q681" s="1">
        <f t="shared" si="377"/>
        <v>0</v>
      </c>
      <c r="R681" s="1">
        <v>730</v>
      </c>
      <c r="S681" s="1">
        <f t="shared" si="378"/>
        <v>2738230</v>
      </c>
      <c r="T681" s="1">
        <v>0</v>
      </c>
      <c r="U681" s="1">
        <v>50000</v>
      </c>
      <c r="V681" s="1">
        <v>0</v>
      </c>
      <c r="W681" s="1">
        <v>50000</v>
      </c>
      <c r="X681" s="1">
        <v>0</v>
      </c>
      <c r="Y681" s="1">
        <v>0</v>
      </c>
      <c r="Z681" s="1">
        <v>0</v>
      </c>
      <c r="AA681" s="1">
        <v>0</v>
      </c>
      <c r="AB681" s="1">
        <v>0</v>
      </c>
      <c r="AC681" s="1">
        <v>0</v>
      </c>
      <c r="AD681" s="1">
        <v>0</v>
      </c>
    </row>
    <row r="682" spans="1:30" s="20" customFormat="1" ht="36" customHeight="1" x14ac:dyDescent="0.25">
      <c r="A682" s="2">
        <f t="shared" si="396"/>
        <v>654</v>
      </c>
      <c r="B682" s="6">
        <f t="shared" si="370"/>
        <v>654</v>
      </c>
      <c r="C682" s="19" t="s">
        <v>429</v>
      </c>
      <c r="D682" s="4">
        <f t="shared" si="392"/>
        <v>3285768.25</v>
      </c>
      <c r="E682" s="1">
        <f t="shared" si="379"/>
        <v>1947938.2500000002</v>
      </c>
      <c r="F682" s="1">
        <f>804*496.29</f>
        <v>399017.16000000003</v>
      </c>
      <c r="G682" s="1">
        <f>1693*496.29</f>
        <v>840218.97000000009</v>
      </c>
      <c r="H682" s="1">
        <f>390*496.29</f>
        <v>193553.1</v>
      </c>
      <c r="I682" s="1">
        <f>571*496.29</f>
        <v>283381.59000000003</v>
      </c>
      <c r="J682" s="1">
        <f>467*496.29</f>
        <v>231767.43000000002</v>
      </c>
      <c r="K682" s="1">
        <v>0</v>
      </c>
      <c r="L682" s="2">
        <v>0</v>
      </c>
      <c r="M682" s="1">
        <f t="shared" si="381"/>
        <v>0</v>
      </c>
      <c r="N682" s="1">
        <v>0</v>
      </c>
      <c r="O682" s="1">
        <v>0</v>
      </c>
      <c r="P682" s="1">
        <v>0</v>
      </c>
      <c r="Q682" s="1">
        <f t="shared" si="377"/>
        <v>0</v>
      </c>
      <c r="R682" s="1">
        <v>330</v>
      </c>
      <c r="S682" s="1">
        <f t="shared" si="378"/>
        <v>1237830</v>
      </c>
      <c r="T682" s="1">
        <v>0</v>
      </c>
      <c r="U682" s="1">
        <v>50000</v>
      </c>
      <c r="V682" s="1">
        <v>0</v>
      </c>
      <c r="W682" s="1">
        <v>50000</v>
      </c>
      <c r="X682" s="1">
        <v>0</v>
      </c>
      <c r="Y682" s="1">
        <v>0</v>
      </c>
      <c r="Z682" s="1">
        <v>0</v>
      </c>
      <c r="AA682" s="1">
        <v>0</v>
      </c>
      <c r="AB682" s="1">
        <v>0</v>
      </c>
      <c r="AC682" s="1">
        <v>0</v>
      </c>
      <c r="AD682" s="1">
        <v>0</v>
      </c>
    </row>
    <row r="683" spans="1:30" s="20" customFormat="1" ht="36" customHeight="1" x14ac:dyDescent="0.25">
      <c r="A683" s="2">
        <f t="shared" si="396"/>
        <v>655</v>
      </c>
      <c r="B683" s="6">
        <f>A683</f>
        <v>655</v>
      </c>
      <c r="C683" s="19" t="s">
        <v>1961</v>
      </c>
      <c r="D683" s="4">
        <f t="shared" si="392"/>
        <v>3700000</v>
      </c>
      <c r="E683" s="1">
        <f>SUM(F683:K683)</f>
        <v>0</v>
      </c>
      <c r="F683" s="1">
        <v>0</v>
      </c>
      <c r="G683" s="1">
        <v>0</v>
      </c>
      <c r="H683" s="1">
        <v>0</v>
      </c>
      <c r="I683" s="1">
        <v>0</v>
      </c>
      <c r="J683" s="1">
        <v>0</v>
      </c>
      <c r="K683" s="1">
        <v>0</v>
      </c>
      <c r="L683" s="2">
        <v>1</v>
      </c>
      <c r="M683" s="1">
        <f>L683*3500000</f>
        <v>3500000</v>
      </c>
      <c r="N683" s="1">
        <v>0</v>
      </c>
      <c r="O683" s="1">
        <v>0</v>
      </c>
      <c r="P683" s="1">
        <v>0</v>
      </c>
      <c r="Q683" s="1">
        <f>P683*1400</f>
        <v>0</v>
      </c>
      <c r="R683" s="1">
        <v>0</v>
      </c>
      <c r="S683" s="1">
        <f>R683*3751</f>
        <v>0</v>
      </c>
      <c r="T683" s="1">
        <v>0</v>
      </c>
      <c r="U683" s="1">
        <v>200000</v>
      </c>
      <c r="V683" s="1">
        <v>0</v>
      </c>
      <c r="W683" s="1">
        <v>0</v>
      </c>
      <c r="X683" s="1">
        <v>0</v>
      </c>
      <c r="Y683" s="1">
        <v>0</v>
      </c>
      <c r="Z683" s="1">
        <v>0</v>
      </c>
      <c r="AA683" s="1">
        <v>0</v>
      </c>
      <c r="AB683" s="1">
        <v>0</v>
      </c>
      <c r="AC683" s="1">
        <v>0</v>
      </c>
      <c r="AD683" s="1">
        <v>0</v>
      </c>
    </row>
    <row r="684" spans="1:30" s="20" customFormat="1" ht="36" customHeight="1" x14ac:dyDescent="0.25">
      <c r="A684" s="2">
        <f t="shared" si="396"/>
        <v>656</v>
      </c>
      <c r="B684" s="6">
        <f>A684</f>
        <v>656</v>
      </c>
      <c r="C684" s="19" t="s">
        <v>2459</v>
      </c>
      <c r="D684" s="4">
        <f t="shared" si="392"/>
        <v>21200000</v>
      </c>
      <c r="E684" s="1">
        <f>SUM(F684:K684)</f>
        <v>0</v>
      </c>
      <c r="F684" s="1">
        <v>0</v>
      </c>
      <c r="G684" s="1">
        <v>0</v>
      </c>
      <c r="H684" s="1">
        <v>0</v>
      </c>
      <c r="I684" s="1">
        <v>0</v>
      </c>
      <c r="J684" s="1">
        <v>0</v>
      </c>
      <c r="K684" s="1">
        <v>0</v>
      </c>
      <c r="L684" s="2">
        <v>6</v>
      </c>
      <c r="M684" s="1">
        <f t="shared" ref="M684" si="397">L684*3500000</f>
        <v>21000000</v>
      </c>
      <c r="N684" s="1">
        <v>0</v>
      </c>
      <c r="O684" s="1">
        <v>0</v>
      </c>
      <c r="P684" s="1">
        <v>0</v>
      </c>
      <c r="Q684" s="1">
        <f>P684*1400</f>
        <v>0</v>
      </c>
      <c r="R684" s="1">
        <v>0</v>
      </c>
      <c r="S684" s="1">
        <f>R684*3751</f>
        <v>0</v>
      </c>
      <c r="T684" s="1">
        <v>0</v>
      </c>
      <c r="U684" s="1">
        <v>200000</v>
      </c>
      <c r="V684" s="1">
        <v>0</v>
      </c>
      <c r="W684" s="1">
        <v>0</v>
      </c>
      <c r="X684" s="1">
        <v>0</v>
      </c>
      <c r="Y684" s="1">
        <v>0</v>
      </c>
      <c r="Z684" s="1">
        <v>0</v>
      </c>
      <c r="AA684" s="1">
        <v>0</v>
      </c>
      <c r="AB684" s="1">
        <v>0</v>
      </c>
      <c r="AC684" s="1">
        <v>0</v>
      </c>
      <c r="AD684" s="1">
        <v>0</v>
      </c>
    </row>
    <row r="685" spans="1:30" s="20" customFormat="1" ht="36" customHeight="1" x14ac:dyDescent="0.25">
      <c r="A685" s="2">
        <f t="shared" si="396"/>
        <v>657</v>
      </c>
      <c r="B685" s="6">
        <f>A685</f>
        <v>657</v>
      </c>
      <c r="C685" s="19" t="s">
        <v>2460</v>
      </c>
      <c r="D685" s="4">
        <f t="shared" si="392"/>
        <v>7200000</v>
      </c>
      <c r="E685" s="1">
        <f>SUM(F685:K685)</f>
        <v>0</v>
      </c>
      <c r="F685" s="1">
        <v>0</v>
      </c>
      <c r="G685" s="1">
        <v>0</v>
      </c>
      <c r="H685" s="1">
        <v>0</v>
      </c>
      <c r="I685" s="1">
        <v>0</v>
      </c>
      <c r="J685" s="1">
        <v>0</v>
      </c>
      <c r="K685" s="1">
        <v>0</v>
      </c>
      <c r="L685" s="2">
        <v>2</v>
      </c>
      <c r="M685" s="1">
        <f t="shared" ref="M685" si="398">L685*3500000</f>
        <v>7000000</v>
      </c>
      <c r="N685" s="1">
        <v>0</v>
      </c>
      <c r="O685" s="1">
        <v>0</v>
      </c>
      <c r="P685" s="1">
        <v>0</v>
      </c>
      <c r="Q685" s="1">
        <f>P685*1400</f>
        <v>0</v>
      </c>
      <c r="R685" s="1">
        <v>0</v>
      </c>
      <c r="S685" s="1">
        <f>R685*3751</f>
        <v>0</v>
      </c>
      <c r="T685" s="1">
        <v>0</v>
      </c>
      <c r="U685" s="1">
        <v>200000</v>
      </c>
      <c r="V685" s="1">
        <v>0</v>
      </c>
      <c r="W685" s="1">
        <v>0</v>
      </c>
      <c r="X685" s="1">
        <v>0</v>
      </c>
      <c r="Y685" s="1">
        <v>0</v>
      </c>
      <c r="Z685" s="1">
        <v>0</v>
      </c>
      <c r="AA685" s="1">
        <v>0</v>
      </c>
      <c r="AB685" s="1">
        <v>0</v>
      </c>
      <c r="AC685" s="1">
        <v>0</v>
      </c>
      <c r="AD685" s="1">
        <v>0</v>
      </c>
    </row>
    <row r="686" spans="1:30" s="20" customFormat="1" ht="36" customHeight="1" x14ac:dyDescent="0.25">
      <c r="A686" s="2">
        <f t="shared" si="396"/>
        <v>658</v>
      </c>
      <c r="B686" s="6">
        <f>A686</f>
        <v>658</v>
      </c>
      <c r="C686" s="19" t="s">
        <v>2461</v>
      </c>
      <c r="D686" s="4">
        <f t="shared" si="392"/>
        <v>21200000</v>
      </c>
      <c r="E686" s="1">
        <f>SUM(F686:K686)</f>
        <v>0</v>
      </c>
      <c r="F686" s="1">
        <v>0</v>
      </c>
      <c r="G686" s="1">
        <v>0</v>
      </c>
      <c r="H686" s="1">
        <v>0</v>
      </c>
      <c r="I686" s="1">
        <v>0</v>
      </c>
      <c r="J686" s="1">
        <v>0</v>
      </c>
      <c r="K686" s="1">
        <v>0</v>
      </c>
      <c r="L686" s="2">
        <v>6</v>
      </c>
      <c r="M686" s="1">
        <f t="shared" ref="M686" si="399">L686*3500000</f>
        <v>21000000</v>
      </c>
      <c r="N686" s="1">
        <v>0</v>
      </c>
      <c r="O686" s="1">
        <v>0</v>
      </c>
      <c r="P686" s="1">
        <v>0</v>
      </c>
      <c r="Q686" s="1">
        <f>P686*1400</f>
        <v>0</v>
      </c>
      <c r="R686" s="1">
        <v>0</v>
      </c>
      <c r="S686" s="1">
        <f>R686*3751</f>
        <v>0</v>
      </c>
      <c r="T686" s="1">
        <v>0</v>
      </c>
      <c r="U686" s="1">
        <v>200000</v>
      </c>
      <c r="V686" s="1">
        <v>0</v>
      </c>
      <c r="W686" s="1">
        <v>0</v>
      </c>
      <c r="X686" s="1">
        <v>0</v>
      </c>
      <c r="Y686" s="1">
        <v>0</v>
      </c>
      <c r="Z686" s="1">
        <v>0</v>
      </c>
      <c r="AA686" s="1">
        <v>0</v>
      </c>
      <c r="AB686" s="1">
        <v>0</v>
      </c>
      <c r="AC686" s="1">
        <v>0</v>
      </c>
      <c r="AD686" s="1">
        <v>0</v>
      </c>
    </row>
    <row r="687" spans="1:30" s="20" customFormat="1" ht="36" customHeight="1" x14ac:dyDescent="0.25">
      <c r="A687" s="2">
        <f t="shared" si="396"/>
        <v>659</v>
      </c>
      <c r="B687" s="6">
        <f>A687</f>
        <v>659</v>
      </c>
      <c r="C687" s="19" t="s">
        <v>2462</v>
      </c>
      <c r="D687" s="4">
        <f t="shared" si="392"/>
        <v>14200000</v>
      </c>
      <c r="E687" s="1">
        <f>SUM(F687:K687)</f>
        <v>0</v>
      </c>
      <c r="F687" s="1">
        <v>0</v>
      </c>
      <c r="G687" s="1">
        <v>0</v>
      </c>
      <c r="H687" s="1">
        <v>0</v>
      </c>
      <c r="I687" s="1">
        <v>0</v>
      </c>
      <c r="J687" s="1">
        <v>0</v>
      </c>
      <c r="K687" s="1">
        <v>0</v>
      </c>
      <c r="L687" s="2">
        <v>4</v>
      </c>
      <c r="M687" s="1">
        <f t="shared" ref="M687" si="400">L687*3500000</f>
        <v>14000000</v>
      </c>
      <c r="N687" s="1">
        <v>0</v>
      </c>
      <c r="O687" s="1">
        <v>0</v>
      </c>
      <c r="P687" s="1">
        <v>0</v>
      </c>
      <c r="Q687" s="1">
        <f>P687*1400</f>
        <v>0</v>
      </c>
      <c r="R687" s="1">
        <v>0</v>
      </c>
      <c r="S687" s="1">
        <f>R687*3751</f>
        <v>0</v>
      </c>
      <c r="T687" s="1">
        <v>0</v>
      </c>
      <c r="U687" s="1">
        <v>200000</v>
      </c>
      <c r="V687" s="1">
        <v>0</v>
      </c>
      <c r="W687" s="1">
        <v>0</v>
      </c>
      <c r="X687" s="1">
        <v>0</v>
      </c>
      <c r="Y687" s="1">
        <v>0</v>
      </c>
      <c r="Z687" s="1">
        <v>0</v>
      </c>
      <c r="AA687" s="1">
        <v>0</v>
      </c>
      <c r="AB687" s="1">
        <v>0</v>
      </c>
      <c r="AC687" s="1">
        <v>0</v>
      </c>
      <c r="AD687" s="1">
        <v>0</v>
      </c>
    </row>
    <row r="688" spans="1:30" s="20" customFormat="1" ht="36" customHeight="1" x14ac:dyDescent="0.25">
      <c r="A688" s="2">
        <f t="shared" si="396"/>
        <v>660</v>
      </c>
      <c r="B688" s="3">
        <f t="shared" ref="B688" si="401">A688</f>
        <v>660</v>
      </c>
      <c r="C688" s="19" t="s">
        <v>2463</v>
      </c>
      <c r="D688" s="4">
        <f t="shared" si="392"/>
        <v>17124888.25</v>
      </c>
      <c r="E688" s="1">
        <f t="shared" ref="E688" si="402">SUM(F688:K688)</f>
        <v>17074888.25</v>
      </c>
      <c r="F688" s="1">
        <f>804*4350.29</f>
        <v>3497633.16</v>
      </c>
      <c r="G688" s="1">
        <f>1693*4350.29</f>
        <v>7365040.9699999997</v>
      </c>
      <c r="H688" s="1">
        <f>390*4350.29</f>
        <v>1696613.1</v>
      </c>
      <c r="I688" s="1">
        <f>571*4350.29</f>
        <v>2484015.59</v>
      </c>
      <c r="J688" s="1">
        <f>467*4350.29</f>
        <v>2031585.43</v>
      </c>
      <c r="K688" s="1">
        <v>0</v>
      </c>
      <c r="L688" s="2">
        <v>0</v>
      </c>
      <c r="M688" s="1">
        <v>0</v>
      </c>
      <c r="N688" s="1">
        <v>0</v>
      </c>
      <c r="O688" s="1">
        <f>N688*4968</f>
        <v>0</v>
      </c>
      <c r="P688" s="1">
        <v>0</v>
      </c>
      <c r="Q688" s="1">
        <f t="shared" ref="Q688" si="403">P688*1400</f>
        <v>0</v>
      </c>
      <c r="R688" s="1">
        <v>0</v>
      </c>
      <c r="S688" s="1">
        <f t="shared" ref="S688" si="404">R688*3751</f>
        <v>0</v>
      </c>
      <c r="T688" s="1">
        <v>0</v>
      </c>
      <c r="U688" s="1">
        <v>50000</v>
      </c>
      <c r="V688" s="1">
        <v>0</v>
      </c>
      <c r="W688" s="1">
        <v>0</v>
      </c>
      <c r="X688" s="1">
        <v>0</v>
      </c>
      <c r="Y688" s="1">
        <v>0</v>
      </c>
      <c r="Z688" s="1">
        <v>0</v>
      </c>
      <c r="AA688" s="1">
        <v>0</v>
      </c>
      <c r="AB688" s="1">
        <v>0</v>
      </c>
      <c r="AC688" s="1">
        <v>0</v>
      </c>
      <c r="AD688" s="1">
        <v>0</v>
      </c>
    </row>
    <row r="689" spans="1:30" s="20" customFormat="1" ht="36" customHeight="1" x14ac:dyDescent="0.25">
      <c r="A689" s="2">
        <f t="shared" si="396"/>
        <v>661</v>
      </c>
      <c r="B689" s="6">
        <f t="shared" si="370"/>
        <v>661</v>
      </c>
      <c r="C689" s="19" t="s">
        <v>431</v>
      </c>
      <c r="D689" s="4">
        <f t="shared" si="392"/>
        <v>5680918.25</v>
      </c>
      <c r="E689" s="1">
        <f t="shared" si="379"/>
        <v>5580918.25</v>
      </c>
      <c r="F689" s="1">
        <f>804*1421.89</f>
        <v>1143199.56</v>
      </c>
      <c r="G689" s="1">
        <f>1693*1421.89</f>
        <v>2407259.77</v>
      </c>
      <c r="H689" s="1">
        <f>390*1421.89</f>
        <v>554537.10000000009</v>
      </c>
      <c r="I689" s="1">
        <f>571*1421.89</f>
        <v>811899.19000000006</v>
      </c>
      <c r="J689" s="1">
        <f>467*1421.89</f>
        <v>664022.63</v>
      </c>
      <c r="K689" s="1">
        <v>0</v>
      </c>
      <c r="L689" s="2">
        <v>0</v>
      </c>
      <c r="M689" s="1">
        <f t="shared" si="381"/>
        <v>0</v>
      </c>
      <c r="N689" s="1">
        <v>0</v>
      </c>
      <c r="O689" s="1">
        <v>0</v>
      </c>
      <c r="P689" s="1">
        <v>0</v>
      </c>
      <c r="Q689" s="1">
        <f t="shared" si="377"/>
        <v>0</v>
      </c>
      <c r="R689" s="1">
        <v>0</v>
      </c>
      <c r="S689" s="1">
        <f t="shared" si="378"/>
        <v>0</v>
      </c>
      <c r="T689" s="1">
        <v>0</v>
      </c>
      <c r="U689" s="1">
        <v>50000</v>
      </c>
      <c r="V689" s="1">
        <v>0</v>
      </c>
      <c r="W689" s="1">
        <v>50000</v>
      </c>
      <c r="X689" s="1">
        <v>0</v>
      </c>
      <c r="Y689" s="1">
        <v>0</v>
      </c>
      <c r="Z689" s="1">
        <v>0</v>
      </c>
      <c r="AA689" s="1">
        <v>0</v>
      </c>
      <c r="AB689" s="1">
        <v>0</v>
      </c>
      <c r="AC689" s="1">
        <v>0</v>
      </c>
      <c r="AD689" s="1">
        <v>0</v>
      </c>
    </row>
    <row r="690" spans="1:30" s="20" customFormat="1" ht="36" customHeight="1" x14ac:dyDescent="0.25">
      <c r="A690" s="2">
        <f t="shared" si="396"/>
        <v>662</v>
      </c>
      <c r="B690" s="6">
        <f t="shared" si="370"/>
        <v>662</v>
      </c>
      <c r="C690" s="19" t="s">
        <v>432</v>
      </c>
      <c r="D690" s="4">
        <f t="shared" si="392"/>
        <v>3199287.5</v>
      </c>
      <c r="E690" s="1">
        <f t="shared" si="379"/>
        <v>1823947.4999999998</v>
      </c>
      <c r="F690" s="1">
        <f>804*464.7</f>
        <v>373618.8</v>
      </c>
      <c r="G690" s="1">
        <f>1693*464.7</f>
        <v>786737.1</v>
      </c>
      <c r="H690" s="1">
        <f>390*464.7</f>
        <v>181233</v>
      </c>
      <c r="I690" s="1">
        <f>571*464.7</f>
        <v>265343.7</v>
      </c>
      <c r="J690" s="1">
        <f>467*464.7</f>
        <v>217014.9</v>
      </c>
      <c r="K690" s="1">
        <v>0</v>
      </c>
      <c r="L690" s="2">
        <v>0</v>
      </c>
      <c r="M690" s="1">
        <f t="shared" si="381"/>
        <v>0</v>
      </c>
      <c r="N690" s="1">
        <v>0</v>
      </c>
      <c r="O690" s="1">
        <v>0</v>
      </c>
      <c r="P690" s="1">
        <v>0</v>
      </c>
      <c r="Q690" s="1">
        <f t="shared" si="377"/>
        <v>0</v>
      </c>
      <c r="R690" s="1">
        <v>340</v>
      </c>
      <c r="S690" s="1">
        <f t="shared" si="378"/>
        <v>1275340</v>
      </c>
      <c r="T690" s="1">
        <v>0</v>
      </c>
      <c r="U690" s="1">
        <v>50000</v>
      </c>
      <c r="V690" s="1">
        <v>0</v>
      </c>
      <c r="W690" s="1">
        <v>50000</v>
      </c>
      <c r="X690" s="1">
        <v>0</v>
      </c>
      <c r="Y690" s="1">
        <v>0</v>
      </c>
      <c r="Z690" s="1">
        <v>0</v>
      </c>
      <c r="AA690" s="1">
        <v>0</v>
      </c>
      <c r="AB690" s="1">
        <v>0</v>
      </c>
      <c r="AC690" s="1">
        <v>0</v>
      </c>
      <c r="AD690" s="1">
        <v>0</v>
      </c>
    </row>
    <row r="691" spans="1:30" s="20" customFormat="1" ht="36" customHeight="1" x14ac:dyDescent="0.25">
      <c r="A691" s="2">
        <f t="shared" si="396"/>
        <v>663</v>
      </c>
      <c r="B691" s="6">
        <f t="shared" si="370"/>
        <v>663</v>
      </c>
      <c r="C691" s="19" t="s">
        <v>433</v>
      </c>
      <c r="D691" s="4">
        <f t="shared" si="392"/>
        <v>3305655</v>
      </c>
      <c r="E691" s="1">
        <f t="shared" si="379"/>
        <v>1930315.0000000002</v>
      </c>
      <c r="F691" s="1">
        <f>804*491.8</f>
        <v>395407.2</v>
      </c>
      <c r="G691" s="1">
        <f>1693*491.8</f>
        <v>832617.4</v>
      </c>
      <c r="H691" s="1">
        <f>390*491.8</f>
        <v>191802</v>
      </c>
      <c r="I691" s="1">
        <f>571*491.8</f>
        <v>280817.8</v>
      </c>
      <c r="J691" s="1">
        <f>467*491.8</f>
        <v>229670.6</v>
      </c>
      <c r="K691" s="1">
        <v>0</v>
      </c>
      <c r="L691" s="2">
        <v>0</v>
      </c>
      <c r="M691" s="1">
        <f t="shared" si="381"/>
        <v>0</v>
      </c>
      <c r="N691" s="1">
        <v>0</v>
      </c>
      <c r="O691" s="1">
        <v>0</v>
      </c>
      <c r="P691" s="1">
        <v>0</v>
      </c>
      <c r="Q691" s="1">
        <f t="shared" si="377"/>
        <v>0</v>
      </c>
      <c r="R691" s="1">
        <v>340</v>
      </c>
      <c r="S691" s="1">
        <f t="shared" si="378"/>
        <v>1275340</v>
      </c>
      <c r="T691" s="1">
        <v>0</v>
      </c>
      <c r="U691" s="1">
        <v>50000</v>
      </c>
      <c r="V691" s="1">
        <v>0</v>
      </c>
      <c r="W691" s="1">
        <v>50000</v>
      </c>
      <c r="X691" s="1">
        <v>0</v>
      </c>
      <c r="Y691" s="1">
        <v>0</v>
      </c>
      <c r="Z691" s="1">
        <v>0</v>
      </c>
      <c r="AA691" s="1">
        <v>0</v>
      </c>
      <c r="AB691" s="1">
        <v>0</v>
      </c>
      <c r="AC691" s="1">
        <v>0</v>
      </c>
      <c r="AD691" s="1">
        <v>0</v>
      </c>
    </row>
    <row r="692" spans="1:30" s="20" customFormat="1" ht="36" customHeight="1" x14ac:dyDescent="0.25">
      <c r="A692" s="2">
        <f t="shared" si="396"/>
        <v>664</v>
      </c>
      <c r="B692" s="6">
        <f t="shared" si="370"/>
        <v>664</v>
      </c>
      <c r="C692" s="19" t="s">
        <v>434</v>
      </c>
      <c r="D692" s="4">
        <f t="shared" si="392"/>
        <v>6454527.5</v>
      </c>
      <c r="E692" s="1">
        <f t="shared" si="379"/>
        <v>4178947.5000000005</v>
      </c>
      <c r="F692" s="1">
        <f>804*1064.7</f>
        <v>856018.8</v>
      </c>
      <c r="G692" s="1">
        <f>1693*1064.7</f>
        <v>1802537.1</v>
      </c>
      <c r="H692" s="1">
        <f>390*1064.7</f>
        <v>415233</v>
      </c>
      <c r="I692" s="1">
        <f>571*1064.7</f>
        <v>607943.70000000007</v>
      </c>
      <c r="J692" s="1">
        <f>467*1064.7</f>
        <v>497214.9</v>
      </c>
      <c r="K692" s="1">
        <v>0</v>
      </c>
      <c r="L692" s="2">
        <v>0</v>
      </c>
      <c r="M692" s="1">
        <f t="shared" si="381"/>
        <v>0</v>
      </c>
      <c r="N692" s="1">
        <v>0</v>
      </c>
      <c r="O692" s="1">
        <v>0</v>
      </c>
      <c r="P692" s="1">
        <v>0</v>
      </c>
      <c r="Q692" s="1">
        <f t="shared" si="377"/>
        <v>0</v>
      </c>
      <c r="R692" s="1">
        <v>580</v>
      </c>
      <c r="S692" s="1">
        <f t="shared" si="378"/>
        <v>2175580</v>
      </c>
      <c r="T692" s="1">
        <v>0</v>
      </c>
      <c r="U692" s="1">
        <v>50000</v>
      </c>
      <c r="V692" s="1">
        <v>0</v>
      </c>
      <c r="W692" s="1">
        <v>50000</v>
      </c>
      <c r="X692" s="1">
        <v>0</v>
      </c>
      <c r="Y692" s="1">
        <v>0</v>
      </c>
      <c r="Z692" s="1">
        <v>0</v>
      </c>
      <c r="AA692" s="1">
        <v>0</v>
      </c>
      <c r="AB692" s="1">
        <v>0</v>
      </c>
      <c r="AC692" s="1">
        <v>0</v>
      </c>
      <c r="AD692" s="1">
        <v>0</v>
      </c>
    </row>
    <row r="693" spans="1:30" s="20" customFormat="1" ht="36" customHeight="1" x14ac:dyDescent="0.25">
      <c r="A693" s="2">
        <f t="shared" si="396"/>
        <v>665</v>
      </c>
      <c r="B693" s="6">
        <f t="shared" si="370"/>
        <v>665</v>
      </c>
      <c r="C693" s="19" t="s">
        <v>435</v>
      </c>
      <c r="D693" s="4">
        <f t="shared" si="392"/>
        <v>6121420.9999999991</v>
      </c>
      <c r="E693" s="1">
        <f t="shared" si="379"/>
        <v>6021420.9999999991</v>
      </c>
      <c r="F693" s="1">
        <f>804*1534.12</f>
        <v>1233432.48</v>
      </c>
      <c r="G693" s="1">
        <f>1693*1534.12</f>
        <v>2597265.1599999997</v>
      </c>
      <c r="H693" s="1">
        <f>390*1534.12</f>
        <v>598306.79999999993</v>
      </c>
      <c r="I693" s="1">
        <f>571*1534.12</f>
        <v>875982.5199999999</v>
      </c>
      <c r="J693" s="1">
        <f>467*1534.12</f>
        <v>716434.03999999992</v>
      </c>
      <c r="K693" s="1">
        <v>0</v>
      </c>
      <c r="L693" s="2">
        <v>0</v>
      </c>
      <c r="M693" s="1">
        <f t="shared" si="381"/>
        <v>0</v>
      </c>
      <c r="N693" s="1">
        <v>0</v>
      </c>
      <c r="O693" s="1">
        <v>0</v>
      </c>
      <c r="P693" s="1">
        <v>0</v>
      </c>
      <c r="Q693" s="1">
        <f t="shared" si="377"/>
        <v>0</v>
      </c>
      <c r="R693" s="1">
        <v>0</v>
      </c>
      <c r="S693" s="1">
        <f t="shared" si="378"/>
        <v>0</v>
      </c>
      <c r="T693" s="1">
        <v>0</v>
      </c>
      <c r="U693" s="1">
        <v>50000</v>
      </c>
      <c r="V693" s="1">
        <v>0</v>
      </c>
      <c r="W693" s="1">
        <v>50000</v>
      </c>
      <c r="X693" s="1">
        <v>0</v>
      </c>
      <c r="Y693" s="1">
        <v>0</v>
      </c>
      <c r="Z693" s="1">
        <v>0</v>
      </c>
      <c r="AA693" s="1">
        <v>0</v>
      </c>
      <c r="AB693" s="1">
        <v>0</v>
      </c>
      <c r="AC693" s="1">
        <v>0</v>
      </c>
      <c r="AD693" s="1">
        <v>0</v>
      </c>
    </row>
    <row r="694" spans="1:30" s="20" customFormat="1" ht="36" customHeight="1" x14ac:dyDescent="0.25">
      <c r="A694" s="2">
        <f t="shared" si="396"/>
        <v>666</v>
      </c>
      <c r="B694" s="6">
        <f t="shared" si="370"/>
        <v>666</v>
      </c>
      <c r="C694" s="19" t="s">
        <v>436</v>
      </c>
      <c r="D694" s="4">
        <f t="shared" si="392"/>
        <v>3688666.7499999995</v>
      </c>
      <c r="E694" s="1">
        <f t="shared" si="379"/>
        <v>3588666.7499999995</v>
      </c>
      <c r="F694" s="1">
        <f>804*914.31</f>
        <v>735105.24</v>
      </c>
      <c r="G694" s="1">
        <f>1693*914.31</f>
        <v>1547926.8299999998</v>
      </c>
      <c r="H694" s="1">
        <f>390*914.31</f>
        <v>356580.89999999997</v>
      </c>
      <c r="I694" s="1">
        <f>571*914.31</f>
        <v>522071.00999999995</v>
      </c>
      <c r="J694" s="1">
        <f>467*914.31</f>
        <v>426982.76999999996</v>
      </c>
      <c r="K694" s="1">
        <v>0</v>
      </c>
      <c r="L694" s="2">
        <v>0</v>
      </c>
      <c r="M694" s="1">
        <f t="shared" si="381"/>
        <v>0</v>
      </c>
      <c r="N694" s="1">
        <v>0</v>
      </c>
      <c r="O694" s="1">
        <v>0</v>
      </c>
      <c r="P694" s="1">
        <v>0</v>
      </c>
      <c r="Q694" s="1">
        <f t="shared" si="377"/>
        <v>0</v>
      </c>
      <c r="R694" s="1">
        <v>0</v>
      </c>
      <c r="S694" s="1">
        <f t="shared" si="378"/>
        <v>0</v>
      </c>
      <c r="T694" s="1">
        <v>0</v>
      </c>
      <c r="U694" s="1">
        <v>50000</v>
      </c>
      <c r="V694" s="1">
        <v>0</v>
      </c>
      <c r="W694" s="1">
        <v>50000</v>
      </c>
      <c r="X694" s="1">
        <v>0</v>
      </c>
      <c r="Y694" s="1">
        <v>0</v>
      </c>
      <c r="Z694" s="1">
        <v>0</v>
      </c>
      <c r="AA694" s="1">
        <v>0</v>
      </c>
      <c r="AB694" s="1">
        <v>0</v>
      </c>
      <c r="AC694" s="1">
        <v>0</v>
      </c>
      <c r="AD694" s="1">
        <v>0</v>
      </c>
    </row>
    <row r="695" spans="1:30" s="20" customFormat="1" ht="36" customHeight="1" x14ac:dyDescent="0.25">
      <c r="A695" s="2">
        <f t="shared" si="396"/>
        <v>667</v>
      </c>
      <c r="B695" s="6">
        <f t="shared" si="370"/>
        <v>667</v>
      </c>
      <c r="C695" s="19" t="s">
        <v>437</v>
      </c>
      <c r="D695" s="4">
        <f t="shared" si="392"/>
        <v>6004652.2499999991</v>
      </c>
      <c r="E695" s="1">
        <f t="shared" si="379"/>
        <v>5904652.2499999991</v>
      </c>
      <c r="F695" s="1">
        <f>804*1504.37</f>
        <v>1209513.48</v>
      </c>
      <c r="G695" s="1">
        <f>1693*1504.37</f>
        <v>2546898.4099999997</v>
      </c>
      <c r="H695" s="1">
        <f>390*1504.37</f>
        <v>586704.29999999993</v>
      </c>
      <c r="I695" s="1">
        <f>571*1504.37</f>
        <v>858995.2699999999</v>
      </c>
      <c r="J695" s="1">
        <f>467*1504.37</f>
        <v>702540.78999999992</v>
      </c>
      <c r="K695" s="1">
        <v>0</v>
      </c>
      <c r="L695" s="2">
        <v>0</v>
      </c>
      <c r="M695" s="1">
        <f t="shared" si="381"/>
        <v>0</v>
      </c>
      <c r="N695" s="1">
        <v>0</v>
      </c>
      <c r="O695" s="1">
        <v>0</v>
      </c>
      <c r="P695" s="1">
        <v>0</v>
      </c>
      <c r="Q695" s="1">
        <f t="shared" si="377"/>
        <v>0</v>
      </c>
      <c r="R695" s="1">
        <v>0</v>
      </c>
      <c r="S695" s="1">
        <f t="shared" si="378"/>
        <v>0</v>
      </c>
      <c r="T695" s="1">
        <v>0</v>
      </c>
      <c r="U695" s="1">
        <v>50000</v>
      </c>
      <c r="V695" s="1">
        <v>0</v>
      </c>
      <c r="W695" s="1">
        <v>50000</v>
      </c>
      <c r="X695" s="1">
        <v>0</v>
      </c>
      <c r="Y695" s="1">
        <v>0</v>
      </c>
      <c r="Z695" s="1">
        <v>0</v>
      </c>
      <c r="AA695" s="1">
        <v>0</v>
      </c>
      <c r="AB695" s="1">
        <v>0</v>
      </c>
      <c r="AC695" s="1">
        <v>0</v>
      </c>
      <c r="AD695" s="1">
        <v>0</v>
      </c>
    </row>
    <row r="696" spans="1:30" s="20" customFormat="1" ht="36" customHeight="1" x14ac:dyDescent="0.25">
      <c r="A696" s="2">
        <f t="shared" si="396"/>
        <v>668</v>
      </c>
      <c r="B696" s="6">
        <f t="shared" si="370"/>
        <v>668</v>
      </c>
      <c r="C696" s="19" t="s">
        <v>438</v>
      </c>
      <c r="D696" s="4">
        <f t="shared" si="392"/>
        <v>5252913.25</v>
      </c>
      <c r="E696" s="1">
        <f t="shared" si="379"/>
        <v>3727533.2500000005</v>
      </c>
      <c r="F696" s="1">
        <f>804*949.69</f>
        <v>763550.76</v>
      </c>
      <c r="G696" s="1">
        <f>1693*949.69</f>
        <v>1607825.1700000002</v>
      </c>
      <c r="H696" s="1">
        <f>390*949.69</f>
        <v>370379.10000000003</v>
      </c>
      <c r="I696" s="1">
        <f>571*949.69</f>
        <v>542272.99</v>
      </c>
      <c r="J696" s="1">
        <f>467*949.69</f>
        <v>443505.23000000004</v>
      </c>
      <c r="K696" s="1">
        <v>0</v>
      </c>
      <c r="L696" s="2">
        <v>0</v>
      </c>
      <c r="M696" s="1">
        <f t="shared" si="381"/>
        <v>0</v>
      </c>
      <c r="N696" s="1">
        <v>0</v>
      </c>
      <c r="O696" s="1">
        <v>0</v>
      </c>
      <c r="P696" s="1">
        <v>0</v>
      </c>
      <c r="Q696" s="1">
        <f t="shared" si="377"/>
        <v>0</v>
      </c>
      <c r="R696" s="1">
        <v>380</v>
      </c>
      <c r="S696" s="1">
        <f t="shared" si="378"/>
        <v>1425380</v>
      </c>
      <c r="T696" s="1">
        <v>0</v>
      </c>
      <c r="U696" s="1">
        <v>50000</v>
      </c>
      <c r="V696" s="1">
        <v>0</v>
      </c>
      <c r="W696" s="1">
        <v>50000</v>
      </c>
      <c r="X696" s="1">
        <v>0</v>
      </c>
      <c r="Y696" s="1">
        <v>0</v>
      </c>
      <c r="Z696" s="1">
        <v>0</v>
      </c>
      <c r="AA696" s="1">
        <v>0</v>
      </c>
      <c r="AB696" s="1">
        <v>0</v>
      </c>
      <c r="AC696" s="1">
        <v>0</v>
      </c>
      <c r="AD696" s="1">
        <v>0</v>
      </c>
    </row>
    <row r="697" spans="1:30" s="20" customFormat="1" ht="36" customHeight="1" x14ac:dyDescent="0.25">
      <c r="A697" s="2">
        <f t="shared" si="396"/>
        <v>669</v>
      </c>
      <c r="B697" s="6">
        <f t="shared" si="370"/>
        <v>669</v>
      </c>
      <c r="C697" s="19" t="s">
        <v>439</v>
      </c>
      <c r="D697" s="4">
        <f t="shared" si="392"/>
        <v>3827180.0000000005</v>
      </c>
      <c r="E697" s="1">
        <f t="shared" si="379"/>
        <v>3727180.0000000005</v>
      </c>
      <c r="F697" s="1">
        <f>804*949.6</f>
        <v>763478.4</v>
      </c>
      <c r="G697" s="1">
        <f>1693*949.6</f>
        <v>1607672.8</v>
      </c>
      <c r="H697" s="1">
        <f>390*949.6</f>
        <v>370344</v>
      </c>
      <c r="I697" s="1">
        <f>571*949.6</f>
        <v>542221.6</v>
      </c>
      <c r="J697" s="1">
        <f>467*949.6</f>
        <v>443463.2</v>
      </c>
      <c r="K697" s="1">
        <v>0</v>
      </c>
      <c r="L697" s="2">
        <v>0</v>
      </c>
      <c r="M697" s="1">
        <f t="shared" si="381"/>
        <v>0</v>
      </c>
      <c r="N697" s="1">
        <v>0</v>
      </c>
      <c r="O697" s="1">
        <v>0</v>
      </c>
      <c r="P697" s="1">
        <v>0</v>
      </c>
      <c r="Q697" s="1">
        <f t="shared" si="377"/>
        <v>0</v>
      </c>
      <c r="R697" s="1">
        <v>0</v>
      </c>
      <c r="S697" s="1">
        <f t="shared" si="378"/>
        <v>0</v>
      </c>
      <c r="T697" s="1">
        <v>0</v>
      </c>
      <c r="U697" s="1">
        <v>50000</v>
      </c>
      <c r="V697" s="1">
        <v>0</v>
      </c>
      <c r="W697" s="1">
        <v>50000</v>
      </c>
      <c r="X697" s="1">
        <v>0</v>
      </c>
      <c r="Y697" s="1">
        <v>0</v>
      </c>
      <c r="Z697" s="1">
        <v>0</v>
      </c>
      <c r="AA697" s="1">
        <v>0</v>
      </c>
      <c r="AB697" s="1">
        <v>0</v>
      </c>
      <c r="AC697" s="1">
        <v>0</v>
      </c>
      <c r="AD697" s="1">
        <v>0</v>
      </c>
    </row>
    <row r="698" spans="1:30" s="20" customFormat="1" ht="36" customHeight="1" x14ac:dyDescent="0.25">
      <c r="A698" s="2">
        <f t="shared" si="396"/>
        <v>670</v>
      </c>
      <c r="B698" s="6">
        <f t="shared" si="370"/>
        <v>670</v>
      </c>
      <c r="C698" s="19" t="s">
        <v>440</v>
      </c>
      <c r="D698" s="4">
        <f t="shared" si="392"/>
        <v>5173432</v>
      </c>
      <c r="E698" s="1">
        <f t="shared" si="379"/>
        <v>3648052.0000000005</v>
      </c>
      <c r="F698" s="1">
        <f>804*929.44</f>
        <v>747269.76</v>
      </c>
      <c r="G698" s="1">
        <f>1693*929.44</f>
        <v>1573541.9200000002</v>
      </c>
      <c r="H698" s="1">
        <f>390*929.44</f>
        <v>362481.60000000003</v>
      </c>
      <c r="I698" s="1">
        <f>571*929.44</f>
        <v>530710.24</v>
      </c>
      <c r="J698" s="1">
        <f>467*929.44</f>
        <v>434048.48000000004</v>
      </c>
      <c r="K698" s="1">
        <v>0</v>
      </c>
      <c r="L698" s="2">
        <v>0</v>
      </c>
      <c r="M698" s="1">
        <f t="shared" si="381"/>
        <v>0</v>
      </c>
      <c r="N698" s="1">
        <v>0</v>
      </c>
      <c r="O698" s="1">
        <v>0</v>
      </c>
      <c r="P698" s="1">
        <v>0</v>
      </c>
      <c r="Q698" s="1">
        <f t="shared" si="377"/>
        <v>0</v>
      </c>
      <c r="R698" s="1">
        <v>380</v>
      </c>
      <c r="S698" s="1">
        <f t="shared" si="378"/>
        <v>1425380</v>
      </c>
      <c r="T698" s="1">
        <v>0</v>
      </c>
      <c r="U698" s="1">
        <v>50000</v>
      </c>
      <c r="V698" s="1">
        <v>0</v>
      </c>
      <c r="W698" s="1">
        <v>50000</v>
      </c>
      <c r="X698" s="1">
        <v>0</v>
      </c>
      <c r="Y698" s="1">
        <v>0</v>
      </c>
      <c r="Z698" s="1">
        <v>0</v>
      </c>
      <c r="AA698" s="1">
        <v>0</v>
      </c>
      <c r="AB698" s="1">
        <v>0</v>
      </c>
      <c r="AC698" s="1">
        <v>0</v>
      </c>
      <c r="AD698" s="1">
        <v>0</v>
      </c>
    </row>
    <row r="699" spans="1:30" s="20" customFormat="1" ht="36" customHeight="1" x14ac:dyDescent="0.25">
      <c r="A699" s="2">
        <f t="shared" si="396"/>
        <v>671</v>
      </c>
      <c r="B699" s="6">
        <f t="shared" si="370"/>
        <v>671</v>
      </c>
      <c r="C699" s="19" t="s">
        <v>441</v>
      </c>
      <c r="D699" s="4">
        <f t="shared" si="392"/>
        <v>3526093.25</v>
      </c>
      <c r="E699" s="1">
        <f t="shared" si="379"/>
        <v>3426093.25</v>
      </c>
      <c r="F699" s="1">
        <f>804*872.89</f>
        <v>701803.55999999994</v>
      </c>
      <c r="G699" s="1">
        <f>1693*872.89</f>
        <v>1477802.77</v>
      </c>
      <c r="H699" s="1">
        <f>390*872.89</f>
        <v>340427.1</v>
      </c>
      <c r="I699" s="1">
        <f>571*872.89</f>
        <v>498420.19</v>
      </c>
      <c r="J699" s="1">
        <f>467*872.89</f>
        <v>407639.63</v>
      </c>
      <c r="K699" s="1">
        <v>0</v>
      </c>
      <c r="L699" s="2">
        <v>0</v>
      </c>
      <c r="M699" s="1">
        <f t="shared" si="381"/>
        <v>0</v>
      </c>
      <c r="N699" s="1">
        <v>0</v>
      </c>
      <c r="O699" s="1">
        <v>0</v>
      </c>
      <c r="P699" s="1">
        <v>0</v>
      </c>
      <c r="Q699" s="1">
        <f t="shared" si="377"/>
        <v>0</v>
      </c>
      <c r="R699" s="1">
        <v>0</v>
      </c>
      <c r="S699" s="1">
        <f t="shared" si="378"/>
        <v>0</v>
      </c>
      <c r="T699" s="1">
        <v>0</v>
      </c>
      <c r="U699" s="1">
        <v>50000</v>
      </c>
      <c r="V699" s="1">
        <v>0</v>
      </c>
      <c r="W699" s="1">
        <v>50000</v>
      </c>
      <c r="X699" s="1">
        <v>0</v>
      </c>
      <c r="Y699" s="1">
        <v>0</v>
      </c>
      <c r="Z699" s="1">
        <v>0</v>
      </c>
      <c r="AA699" s="1">
        <v>0</v>
      </c>
      <c r="AB699" s="1">
        <v>0</v>
      </c>
      <c r="AC699" s="1">
        <v>0</v>
      </c>
      <c r="AD699" s="1">
        <v>0</v>
      </c>
    </row>
    <row r="700" spans="1:30" s="20" customFormat="1" ht="36" customHeight="1" x14ac:dyDescent="0.25">
      <c r="A700" s="2">
        <f t="shared" si="396"/>
        <v>672</v>
      </c>
      <c r="B700" s="6">
        <f t="shared" si="370"/>
        <v>672</v>
      </c>
      <c r="C700" s="19" t="s">
        <v>442</v>
      </c>
      <c r="D700" s="4">
        <f t="shared" si="392"/>
        <v>20492549.5</v>
      </c>
      <c r="E700" s="1">
        <f t="shared" si="379"/>
        <v>13303159.5</v>
      </c>
      <c r="F700" s="1">
        <f>804*3389.34</f>
        <v>2725029.3600000003</v>
      </c>
      <c r="G700" s="1">
        <f>1693*3389.34</f>
        <v>5738152.6200000001</v>
      </c>
      <c r="H700" s="1">
        <f>390*3389.34</f>
        <v>1321842.6000000001</v>
      </c>
      <c r="I700" s="1">
        <f>571*3389.34</f>
        <v>1935313.1400000001</v>
      </c>
      <c r="J700" s="1">
        <f>467*3389.34</f>
        <v>1582821.78</v>
      </c>
      <c r="K700" s="1">
        <v>0</v>
      </c>
      <c r="L700" s="2">
        <v>0</v>
      </c>
      <c r="M700" s="1">
        <f t="shared" si="381"/>
        <v>0</v>
      </c>
      <c r="N700" s="1">
        <v>0</v>
      </c>
      <c r="O700" s="1">
        <v>0</v>
      </c>
      <c r="P700" s="1">
        <v>0</v>
      </c>
      <c r="Q700" s="1">
        <f t="shared" si="377"/>
        <v>0</v>
      </c>
      <c r="R700" s="1">
        <v>1890</v>
      </c>
      <c r="S700" s="1">
        <f t="shared" si="378"/>
        <v>7089390</v>
      </c>
      <c r="T700" s="1">
        <v>0</v>
      </c>
      <c r="U700" s="1">
        <v>50000</v>
      </c>
      <c r="V700" s="1">
        <v>0</v>
      </c>
      <c r="W700" s="1">
        <v>50000</v>
      </c>
      <c r="X700" s="1">
        <v>0</v>
      </c>
      <c r="Y700" s="1">
        <v>0</v>
      </c>
      <c r="Z700" s="1">
        <v>0</v>
      </c>
      <c r="AA700" s="1">
        <v>0</v>
      </c>
      <c r="AB700" s="1">
        <v>0</v>
      </c>
      <c r="AC700" s="1">
        <v>0</v>
      </c>
      <c r="AD700" s="1">
        <v>0</v>
      </c>
    </row>
    <row r="701" spans="1:30" s="20" customFormat="1" ht="36" customHeight="1" x14ac:dyDescent="0.25">
      <c r="A701" s="2">
        <f t="shared" si="396"/>
        <v>673</v>
      </c>
      <c r="B701" s="6">
        <f t="shared" si="370"/>
        <v>673</v>
      </c>
      <c r="C701" s="19" t="s">
        <v>1819</v>
      </c>
      <c r="D701" s="4">
        <f t="shared" si="392"/>
        <v>4112217.5</v>
      </c>
      <c r="E701" s="1">
        <f t="shared" si="379"/>
        <v>2211737.5</v>
      </c>
      <c r="F701" s="1">
        <f>804*563.5</f>
        <v>453054</v>
      </c>
      <c r="G701" s="1">
        <f>1693*563.5</f>
        <v>954005.5</v>
      </c>
      <c r="H701" s="1">
        <f>390*563.5</f>
        <v>219765</v>
      </c>
      <c r="I701" s="1">
        <f>571*563.5</f>
        <v>321758.5</v>
      </c>
      <c r="J701" s="1">
        <f>467*563.5</f>
        <v>263154.5</v>
      </c>
      <c r="K701" s="1">
        <v>0</v>
      </c>
      <c r="L701" s="2">
        <v>0</v>
      </c>
      <c r="M701" s="1">
        <f t="shared" si="381"/>
        <v>0</v>
      </c>
      <c r="N701" s="1">
        <v>0</v>
      </c>
      <c r="O701" s="1">
        <v>0</v>
      </c>
      <c r="P701" s="1">
        <v>0</v>
      </c>
      <c r="Q701" s="1">
        <f t="shared" si="377"/>
        <v>0</v>
      </c>
      <c r="R701" s="1">
        <v>480</v>
      </c>
      <c r="S701" s="1">
        <f t="shared" si="378"/>
        <v>1800480</v>
      </c>
      <c r="T701" s="1">
        <v>0</v>
      </c>
      <c r="U701" s="1">
        <v>50000</v>
      </c>
      <c r="V701" s="1">
        <v>0</v>
      </c>
      <c r="W701" s="1">
        <v>50000</v>
      </c>
      <c r="X701" s="1">
        <v>0</v>
      </c>
      <c r="Y701" s="1">
        <v>0</v>
      </c>
      <c r="Z701" s="1">
        <v>0</v>
      </c>
      <c r="AA701" s="1">
        <v>0</v>
      </c>
      <c r="AB701" s="1">
        <v>0</v>
      </c>
      <c r="AC701" s="1">
        <v>0</v>
      </c>
      <c r="AD701" s="1">
        <v>0</v>
      </c>
    </row>
    <row r="702" spans="1:30" s="20" customFormat="1" ht="36" customHeight="1" x14ac:dyDescent="0.25">
      <c r="A702" s="2">
        <f t="shared" si="396"/>
        <v>674</v>
      </c>
      <c r="B702" s="6">
        <f t="shared" ref="B702:B888" si="405">A702</f>
        <v>674</v>
      </c>
      <c r="C702" s="19" t="s">
        <v>1820</v>
      </c>
      <c r="D702" s="4">
        <f t="shared" si="392"/>
        <v>2633669.25</v>
      </c>
      <c r="E702" s="1">
        <f t="shared" si="379"/>
        <v>1070779.25</v>
      </c>
      <c r="F702" s="1">
        <f>804*272.81</f>
        <v>219339.24</v>
      </c>
      <c r="G702" s="1">
        <f>1693*272.81</f>
        <v>461867.33</v>
      </c>
      <c r="H702" s="1">
        <f>390*272.81</f>
        <v>106395.9</v>
      </c>
      <c r="I702" s="1">
        <f>571*272.81</f>
        <v>155774.51</v>
      </c>
      <c r="J702" s="1">
        <f>467*272.81</f>
        <v>127402.27</v>
      </c>
      <c r="K702" s="1">
        <v>0</v>
      </c>
      <c r="L702" s="2">
        <v>0</v>
      </c>
      <c r="M702" s="1">
        <f t="shared" si="381"/>
        <v>0</v>
      </c>
      <c r="N702" s="1">
        <v>0</v>
      </c>
      <c r="O702" s="1">
        <v>0</v>
      </c>
      <c r="P702" s="1">
        <v>0</v>
      </c>
      <c r="Q702" s="1">
        <f t="shared" si="377"/>
        <v>0</v>
      </c>
      <c r="R702" s="1">
        <v>390</v>
      </c>
      <c r="S702" s="1">
        <f t="shared" si="378"/>
        <v>1462890</v>
      </c>
      <c r="T702" s="1">
        <v>0</v>
      </c>
      <c r="U702" s="1">
        <v>50000</v>
      </c>
      <c r="V702" s="1">
        <v>0</v>
      </c>
      <c r="W702" s="1">
        <v>50000</v>
      </c>
      <c r="X702" s="1">
        <v>0</v>
      </c>
      <c r="Y702" s="1">
        <v>0</v>
      </c>
      <c r="Z702" s="1">
        <v>0</v>
      </c>
      <c r="AA702" s="1">
        <v>0</v>
      </c>
      <c r="AB702" s="1">
        <v>0</v>
      </c>
      <c r="AC702" s="1">
        <v>0</v>
      </c>
      <c r="AD702" s="1">
        <v>0</v>
      </c>
    </row>
    <row r="703" spans="1:30" s="20" customFormat="1" ht="36" customHeight="1" x14ac:dyDescent="0.25">
      <c r="A703" s="2">
        <f t="shared" si="396"/>
        <v>675</v>
      </c>
      <c r="B703" s="6">
        <f t="shared" si="405"/>
        <v>675</v>
      </c>
      <c r="C703" s="19" t="s">
        <v>1821</v>
      </c>
      <c r="D703" s="4">
        <f t="shared" si="392"/>
        <v>2593150</v>
      </c>
      <c r="E703" s="1">
        <f t="shared" si="379"/>
        <v>1105280</v>
      </c>
      <c r="F703" s="1">
        <f>804*281.6</f>
        <v>226406.40000000002</v>
      </c>
      <c r="G703" s="1">
        <f>1693*281.6</f>
        <v>476748.80000000005</v>
      </c>
      <c r="H703" s="1">
        <f>390*281.6</f>
        <v>109824.00000000001</v>
      </c>
      <c r="I703" s="1">
        <f>571*281.6</f>
        <v>160793.60000000001</v>
      </c>
      <c r="J703" s="1">
        <f>467*281.6</f>
        <v>131507.20000000001</v>
      </c>
      <c r="K703" s="1">
        <v>0</v>
      </c>
      <c r="L703" s="2">
        <v>0</v>
      </c>
      <c r="M703" s="1">
        <f t="shared" si="381"/>
        <v>0</v>
      </c>
      <c r="N703" s="1">
        <v>0</v>
      </c>
      <c r="O703" s="1">
        <v>0</v>
      </c>
      <c r="P703" s="1">
        <v>0</v>
      </c>
      <c r="Q703" s="1">
        <f t="shared" si="377"/>
        <v>0</v>
      </c>
      <c r="R703" s="1">
        <v>370</v>
      </c>
      <c r="S703" s="1">
        <f t="shared" si="378"/>
        <v>1387870</v>
      </c>
      <c r="T703" s="1">
        <v>0</v>
      </c>
      <c r="U703" s="1">
        <v>50000</v>
      </c>
      <c r="V703" s="1">
        <v>0</v>
      </c>
      <c r="W703" s="1">
        <v>50000</v>
      </c>
      <c r="X703" s="1">
        <v>0</v>
      </c>
      <c r="Y703" s="1">
        <v>0</v>
      </c>
      <c r="Z703" s="1">
        <v>0</v>
      </c>
      <c r="AA703" s="1">
        <v>0</v>
      </c>
      <c r="AB703" s="1">
        <v>0</v>
      </c>
      <c r="AC703" s="1">
        <v>0</v>
      </c>
      <c r="AD703" s="1">
        <v>0</v>
      </c>
    </row>
    <row r="704" spans="1:30" s="20" customFormat="1" ht="36" customHeight="1" x14ac:dyDescent="0.25">
      <c r="A704" s="2">
        <f t="shared" si="396"/>
        <v>676</v>
      </c>
      <c r="B704" s="6">
        <f t="shared" si="405"/>
        <v>676</v>
      </c>
      <c r="C704" s="19" t="s">
        <v>1822</v>
      </c>
      <c r="D704" s="4">
        <f t="shared" si="392"/>
        <v>2563320</v>
      </c>
      <c r="E704" s="1">
        <f t="shared" si="379"/>
        <v>1075450</v>
      </c>
      <c r="F704" s="1">
        <f>804*274</f>
        <v>220296</v>
      </c>
      <c r="G704" s="1">
        <f>1693*274</f>
        <v>463882</v>
      </c>
      <c r="H704" s="1">
        <f>390*274</f>
        <v>106860</v>
      </c>
      <c r="I704" s="1">
        <f>571*274</f>
        <v>156454</v>
      </c>
      <c r="J704" s="1">
        <f>467*274</f>
        <v>127958</v>
      </c>
      <c r="K704" s="1">
        <v>0</v>
      </c>
      <c r="L704" s="2">
        <v>0</v>
      </c>
      <c r="M704" s="1">
        <f t="shared" si="381"/>
        <v>0</v>
      </c>
      <c r="N704" s="1">
        <v>0</v>
      </c>
      <c r="O704" s="1">
        <v>0</v>
      </c>
      <c r="P704" s="1">
        <v>0</v>
      </c>
      <c r="Q704" s="1">
        <f t="shared" si="377"/>
        <v>0</v>
      </c>
      <c r="R704" s="1">
        <v>370</v>
      </c>
      <c r="S704" s="1">
        <f t="shared" si="378"/>
        <v>1387870</v>
      </c>
      <c r="T704" s="1">
        <v>0</v>
      </c>
      <c r="U704" s="1">
        <v>50000</v>
      </c>
      <c r="V704" s="1">
        <v>0</v>
      </c>
      <c r="W704" s="1">
        <v>50000</v>
      </c>
      <c r="X704" s="1">
        <v>0</v>
      </c>
      <c r="Y704" s="1">
        <v>0</v>
      </c>
      <c r="Z704" s="1">
        <v>0</v>
      </c>
      <c r="AA704" s="1">
        <v>0</v>
      </c>
      <c r="AB704" s="1">
        <v>0</v>
      </c>
      <c r="AC704" s="1">
        <v>0</v>
      </c>
      <c r="AD704" s="1">
        <v>0</v>
      </c>
    </row>
    <row r="705" spans="1:30" s="20" customFormat="1" ht="36" customHeight="1" x14ac:dyDescent="0.25">
      <c r="A705" s="2">
        <f t="shared" si="396"/>
        <v>677</v>
      </c>
      <c r="B705" s="6">
        <f t="shared" si="405"/>
        <v>677</v>
      </c>
      <c r="C705" s="19" t="s">
        <v>2464</v>
      </c>
      <c r="D705" s="4">
        <f t="shared" si="392"/>
        <v>2770952.5</v>
      </c>
      <c r="E705" s="1">
        <f t="shared" si="379"/>
        <v>1283082.5</v>
      </c>
      <c r="F705" s="1">
        <f>804*326.9</f>
        <v>262827.59999999998</v>
      </c>
      <c r="G705" s="1">
        <f>1693*326.9</f>
        <v>553441.69999999995</v>
      </c>
      <c r="H705" s="1">
        <f>390*326.9</f>
        <v>127490.99999999999</v>
      </c>
      <c r="I705" s="1">
        <f>571*326.9</f>
        <v>186659.9</v>
      </c>
      <c r="J705" s="1">
        <f>467*326.9</f>
        <v>152662.29999999999</v>
      </c>
      <c r="K705" s="1">
        <v>0</v>
      </c>
      <c r="L705" s="2">
        <v>0</v>
      </c>
      <c r="M705" s="1">
        <f t="shared" si="381"/>
        <v>0</v>
      </c>
      <c r="N705" s="1">
        <v>0</v>
      </c>
      <c r="O705" s="1">
        <v>0</v>
      </c>
      <c r="P705" s="1">
        <v>0</v>
      </c>
      <c r="Q705" s="1">
        <f t="shared" si="377"/>
        <v>0</v>
      </c>
      <c r="R705" s="1">
        <v>370</v>
      </c>
      <c r="S705" s="1">
        <f t="shared" si="378"/>
        <v>1387870</v>
      </c>
      <c r="T705" s="1">
        <v>0</v>
      </c>
      <c r="U705" s="1">
        <v>50000</v>
      </c>
      <c r="V705" s="1">
        <v>0</v>
      </c>
      <c r="W705" s="1">
        <v>50000</v>
      </c>
      <c r="X705" s="1">
        <v>0</v>
      </c>
      <c r="Y705" s="1">
        <v>0</v>
      </c>
      <c r="Z705" s="1">
        <v>0</v>
      </c>
      <c r="AA705" s="1">
        <v>0</v>
      </c>
      <c r="AB705" s="1">
        <v>0</v>
      </c>
      <c r="AC705" s="1">
        <v>0</v>
      </c>
      <c r="AD705" s="1">
        <v>0</v>
      </c>
    </row>
    <row r="706" spans="1:30" s="20" customFormat="1" ht="36" customHeight="1" x14ac:dyDescent="0.25">
      <c r="A706" s="2">
        <f t="shared" si="396"/>
        <v>678</v>
      </c>
      <c r="B706" s="6">
        <f>A706</f>
        <v>678</v>
      </c>
      <c r="C706" s="19" t="s">
        <v>443</v>
      </c>
      <c r="D706" s="4">
        <f t="shared" si="392"/>
        <v>6217073.25</v>
      </c>
      <c r="E706" s="1">
        <f>SUM(F706:K706)</f>
        <v>6117073.25</v>
      </c>
      <c r="F706" s="1">
        <f>804*1558.49</f>
        <v>1253025.96</v>
      </c>
      <c r="G706" s="1">
        <f>1693*1558.49</f>
        <v>2638523.5699999998</v>
      </c>
      <c r="H706" s="1">
        <f>390*1558.49</f>
        <v>607811.1</v>
      </c>
      <c r="I706" s="1">
        <f>571*1558.49</f>
        <v>889897.79</v>
      </c>
      <c r="J706" s="1">
        <f>467*1558.49</f>
        <v>727814.83</v>
      </c>
      <c r="K706" s="1">
        <v>0</v>
      </c>
      <c r="L706" s="2">
        <v>0</v>
      </c>
      <c r="M706" s="1">
        <f t="shared" si="381"/>
        <v>0</v>
      </c>
      <c r="N706" s="1">
        <v>0</v>
      </c>
      <c r="O706" s="1">
        <v>0</v>
      </c>
      <c r="P706" s="1">
        <v>0</v>
      </c>
      <c r="Q706" s="1">
        <f>P706*1400</f>
        <v>0</v>
      </c>
      <c r="R706" s="1">
        <v>0</v>
      </c>
      <c r="S706" s="1">
        <f>R706*3751</f>
        <v>0</v>
      </c>
      <c r="T706" s="1">
        <v>0</v>
      </c>
      <c r="U706" s="1">
        <v>50000</v>
      </c>
      <c r="V706" s="1">
        <v>0</v>
      </c>
      <c r="W706" s="1">
        <v>50000</v>
      </c>
      <c r="X706" s="1">
        <v>0</v>
      </c>
      <c r="Y706" s="1">
        <v>0</v>
      </c>
      <c r="Z706" s="1">
        <v>0</v>
      </c>
      <c r="AA706" s="1">
        <v>0</v>
      </c>
      <c r="AB706" s="1">
        <v>0</v>
      </c>
      <c r="AC706" s="1">
        <v>0</v>
      </c>
      <c r="AD706" s="1">
        <v>0</v>
      </c>
    </row>
    <row r="707" spans="1:30" s="20" customFormat="1" ht="36" customHeight="1" x14ac:dyDescent="0.25">
      <c r="A707" s="2">
        <f t="shared" si="396"/>
        <v>679</v>
      </c>
      <c r="B707" s="2">
        <f t="shared" si="405"/>
        <v>679</v>
      </c>
      <c r="C707" s="19" t="s">
        <v>1765</v>
      </c>
      <c r="D707" s="39">
        <f t="shared" si="392"/>
        <v>2965214.8</v>
      </c>
      <c r="E707" s="1">
        <f t="shared" si="379"/>
        <v>2865214.8</v>
      </c>
      <c r="F707" s="1">
        <f>804*3563.7</f>
        <v>2865214.8</v>
      </c>
      <c r="G707" s="1">
        <v>0</v>
      </c>
      <c r="H707" s="1">
        <v>0</v>
      </c>
      <c r="I707" s="1">
        <v>0</v>
      </c>
      <c r="J707" s="1">
        <v>0</v>
      </c>
      <c r="K707" s="1">
        <v>0</v>
      </c>
      <c r="L707" s="2">
        <v>0</v>
      </c>
      <c r="M707" s="1">
        <f t="shared" si="381"/>
        <v>0</v>
      </c>
      <c r="N707" s="1">
        <v>0</v>
      </c>
      <c r="O707" s="1">
        <v>0</v>
      </c>
      <c r="P707" s="1">
        <v>0</v>
      </c>
      <c r="Q707" s="1">
        <f t="shared" si="377"/>
        <v>0</v>
      </c>
      <c r="R707" s="1">
        <v>0</v>
      </c>
      <c r="S707" s="1">
        <f t="shared" si="378"/>
        <v>0</v>
      </c>
      <c r="T707" s="1">
        <v>0</v>
      </c>
      <c r="U707" s="1">
        <v>100000</v>
      </c>
      <c r="V707" s="1">
        <v>0</v>
      </c>
      <c r="W707" s="1">
        <v>0</v>
      </c>
      <c r="X707" s="1">
        <v>0</v>
      </c>
      <c r="Y707" s="1">
        <v>0</v>
      </c>
      <c r="Z707" s="1">
        <v>0</v>
      </c>
      <c r="AA707" s="1">
        <v>0</v>
      </c>
      <c r="AB707" s="1">
        <v>0</v>
      </c>
      <c r="AC707" s="1">
        <v>0</v>
      </c>
      <c r="AD707" s="1">
        <v>0</v>
      </c>
    </row>
    <row r="708" spans="1:30" s="20" customFormat="1" ht="36" customHeight="1" x14ac:dyDescent="0.25">
      <c r="A708" s="2">
        <f t="shared" si="396"/>
        <v>680</v>
      </c>
      <c r="B708" s="2">
        <f t="shared" ref="B708:B713" si="406">A708</f>
        <v>680</v>
      </c>
      <c r="C708" s="19" t="s">
        <v>961</v>
      </c>
      <c r="D708" s="39">
        <f t="shared" si="392"/>
        <v>8859079.7599999998</v>
      </c>
      <c r="E708" s="1">
        <f t="shared" si="379"/>
        <v>8809079.7599999998</v>
      </c>
      <c r="F708" s="1">
        <f>804*2626.44</f>
        <v>2111657.7600000002</v>
      </c>
      <c r="G708" s="1">
        <f>1693*2626.44</f>
        <v>4446562.92</v>
      </c>
      <c r="H708" s="1">
        <f>390*2626.44</f>
        <v>1024311.6</v>
      </c>
      <c r="I708" s="1">
        <v>0</v>
      </c>
      <c r="J708" s="1">
        <f>467*2626.44</f>
        <v>1226547.48</v>
      </c>
      <c r="K708" s="1">
        <v>0</v>
      </c>
      <c r="L708" s="2">
        <v>0</v>
      </c>
      <c r="M708" s="1">
        <f t="shared" si="381"/>
        <v>0</v>
      </c>
      <c r="N708" s="1">
        <v>0</v>
      </c>
      <c r="O708" s="1">
        <v>0</v>
      </c>
      <c r="P708" s="1">
        <v>0</v>
      </c>
      <c r="Q708" s="1">
        <f t="shared" si="377"/>
        <v>0</v>
      </c>
      <c r="R708" s="1">
        <v>0</v>
      </c>
      <c r="S708" s="1">
        <f t="shared" si="378"/>
        <v>0</v>
      </c>
      <c r="T708" s="1">
        <v>0</v>
      </c>
      <c r="U708" s="1">
        <v>50000</v>
      </c>
      <c r="V708" s="1">
        <v>0</v>
      </c>
      <c r="W708" s="1">
        <v>0</v>
      </c>
      <c r="X708" s="1">
        <v>0</v>
      </c>
      <c r="Y708" s="1">
        <v>0</v>
      </c>
      <c r="Z708" s="1">
        <v>0</v>
      </c>
      <c r="AA708" s="1">
        <v>0</v>
      </c>
      <c r="AB708" s="1">
        <v>0</v>
      </c>
      <c r="AC708" s="1">
        <v>0</v>
      </c>
      <c r="AD708" s="1">
        <v>0</v>
      </c>
    </row>
    <row r="709" spans="1:30" s="20" customFormat="1" ht="36" customHeight="1" x14ac:dyDescent="0.25">
      <c r="A709" s="2">
        <f t="shared" si="396"/>
        <v>681</v>
      </c>
      <c r="B709" s="6">
        <f t="shared" si="406"/>
        <v>681</v>
      </c>
      <c r="C709" s="19" t="s">
        <v>1733</v>
      </c>
      <c r="D709" s="4">
        <f t="shared" si="392"/>
        <v>7200000</v>
      </c>
      <c r="E709" s="1">
        <f t="shared" si="379"/>
        <v>0</v>
      </c>
      <c r="F709" s="1">
        <v>0</v>
      </c>
      <c r="G709" s="1">
        <v>0</v>
      </c>
      <c r="H709" s="1">
        <v>0</v>
      </c>
      <c r="I709" s="1">
        <v>0</v>
      </c>
      <c r="J709" s="1">
        <v>0</v>
      </c>
      <c r="K709" s="1">
        <v>0</v>
      </c>
      <c r="L709" s="2">
        <v>2</v>
      </c>
      <c r="M709" s="1">
        <f t="shared" si="381"/>
        <v>7000000</v>
      </c>
      <c r="N709" s="1">
        <v>0</v>
      </c>
      <c r="O709" s="1">
        <v>0</v>
      </c>
      <c r="P709" s="1">
        <v>0</v>
      </c>
      <c r="Q709" s="1">
        <f t="shared" si="377"/>
        <v>0</v>
      </c>
      <c r="R709" s="1">
        <v>0</v>
      </c>
      <c r="S709" s="1">
        <f t="shared" si="378"/>
        <v>0</v>
      </c>
      <c r="T709" s="1">
        <v>0</v>
      </c>
      <c r="U709" s="1">
        <v>200000</v>
      </c>
      <c r="V709" s="1">
        <v>0</v>
      </c>
      <c r="W709" s="1">
        <v>0</v>
      </c>
      <c r="X709" s="1">
        <v>0</v>
      </c>
      <c r="Y709" s="1">
        <v>0</v>
      </c>
      <c r="Z709" s="1">
        <v>0</v>
      </c>
      <c r="AA709" s="1">
        <v>0</v>
      </c>
      <c r="AB709" s="1">
        <v>0</v>
      </c>
      <c r="AC709" s="1">
        <v>0</v>
      </c>
      <c r="AD709" s="1">
        <v>0</v>
      </c>
    </row>
    <row r="710" spans="1:30" s="20" customFormat="1" ht="36" customHeight="1" x14ac:dyDescent="0.25">
      <c r="A710" s="2">
        <f t="shared" si="396"/>
        <v>682</v>
      </c>
      <c r="B710" s="6">
        <f t="shared" si="406"/>
        <v>682</v>
      </c>
      <c r="C710" s="19" t="s">
        <v>2293</v>
      </c>
      <c r="D710" s="4">
        <f t="shared" si="392"/>
        <v>17700000</v>
      </c>
      <c r="E710" s="1">
        <f>SUM(F710:K710)</f>
        <v>0</v>
      </c>
      <c r="F710" s="1">
        <v>0</v>
      </c>
      <c r="G710" s="1">
        <v>0</v>
      </c>
      <c r="H710" s="1">
        <v>0</v>
      </c>
      <c r="I710" s="1">
        <v>0</v>
      </c>
      <c r="J710" s="1">
        <v>0</v>
      </c>
      <c r="K710" s="1">
        <v>0</v>
      </c>
      <c r="L710" s="2">
        <v>5</v>
      </c>
      <c r="M710" s="1">
        <f t="shared" ref="M710:M712" si="407">L710*3500000</f>
        <v>17500000</v>
      </c>
      <c r="N710" s="1">
        <v>0</v>
      </c>
      <c r="O710" s="1">
        <v>0</v>
      </c>
      <c r="P710" s="1">
        <v>0</v>
      </c>
      <c r="Q710" s="1">
        <f>P710*1400</f>
        <v>0</v>
      </c>
      <c r="R710" s="1">
        <v>0</v>
      </c>
      <c r="S710" s="1">
        <f>R710*3751</f>
        <v>0</v>
      </c>
      <c r="T710" s="1">
        <v>0</v>
      </c>
      <c r="U710" s="1">
        <v>200000</v>
      </c>
      <c r="V710" s="1">
        <v>0</v>
      </c>
      <c r="W710" s="1">
        <v>0</v>
      </c>
      <c r="X710" s="1">
        <v>0</v>
      </c>
      <c r="Y710" s="1">
        <v>0</v>
      </c>
      <c r="Z710" s="1">
        <v>0</v>
      </c>
      <c r="AA710" s="1">
        <v>0</v>
      </c>
      <c r="AB710" s="1">
        <v>0</v>
      </c>
      <c r="AC710" s="1">
        <v>0</v>
      </c>
      <c r="AD710" s="1">
        <v>0</v>
      </c>
    </row>
    <row r="711" spans="1:30" s="20" customFormat="1" ht="36" customHeight="1" x14ac:dyDescent="0.25">
      <c r="A711" s="2">
        <f t="shared" si="396"/>
        <v>683</v>
      </c>
      <c r="B711" s="6">
        <f t="shared" si="406"/>
        <v>683</v>
      </c>
      <c r="C711" s="19" t="s">
        <v>2294</v>
      </c>
      <c r="D711" s="4">
        <f t="shared" si="392"/>
        <v>7200000</v>
      </c>
      <c r="E711" s="1">
        <f>SUM(F711:K711)</f>
        <v>0</v>
      </c>
      <c r="F711" s="1">
        <v>0</v>
      </c>
      <c r="G711" s="1">
        <v>0</v>
      </c>
      <c r="H711" s="1">
        <v>0</v>
      </c>
      <c r="I711" s="1">
        <v>0</v>
      </c>
      <c r="J711" s="1">
        <v>0</v>
      </c>
      <c r="K711" s="1">
        <v>0</v>
      </c>
      <c r="L711" s="2">
        <v>2</v>
      </c>
      <c r="M711" s="1">
        <f t="shared" ref="M711" si="408">L711*3500000</f>
        <v>7000000</v>
      </c>
      <c r="N711" s="1">
        <v>0</v>
      </c>
      <c r="O711" s="1">
        <v>0</v>
      </c>
      <c r="P711" s="1">
        <v>0</v>
      </c>
      <c r="Q711" s="1">
        <f>P711*1400</f>
        <v>0</v>
      </c>
      <c r="R711" s="1">
        <v>0</v>
      </c>
      <c r="S711" s="1">
        <f>R711*3751</f>
        <v>0</v>
      </c>
      <c r="T711" s="1">
        <v>0</v>
      </c>
      <c r="U711" s="1">
        <v>200000</v>
      </c>
      <c r="V711" s="1">
        <v>0</v>
      </c>
      <c r="W711" s="1">
        <v>0</v>
      </c>
      <c r="X711" s="1">
        <v>0</v>
      </c>
      <c r="Y711" s="1">
        <v>0</v>
      </c>
      <c r="Z711" s="1">
        <v>0</v>
      </c>
      <c r="AA711" s="1">
        <v>0</v>
      </c>
      <c r="AB711" s="1">
        <v>0</v>
      </c>
      <c r="AC711" s="1">
        <v>0</v>
      </c>
      <c r="AD711" s="1">
        <v>0</v>
      </c>
    </row>
    <row r="712" spans="1:30" s="20" customFormat="1" ht="36" customHeight="1" x14ac:dyDescent="0.25">
      <c r="A712" s="2">
        <f t="shared" si="396"/>
        <v>684</v>
      </c>
      <c r="B712" s="6">
        <f t="shared" si="406"/>
        <v>684</v>
      </c>
      <c r="C712" s="19" t="s">
        <v>2295</v>
      </c>
      <c r="D712" s="4">
        <f t="shared" si="392"/>
        <v>7200000</v>
      </c>
      <c r="E712" s="1">
        <f>SUM(F712:K712)</f>
        <v>0</v>
      </c>
      <c r="F712" s="1">
        <v>0</v>
      </c>
      <c r="G712" s="1">
        <v>0</v>
      </c>
      <c r="H712" s="1">
        <v>0</v>
      </c>
      <c r="I712" s="1">
        <v>0</v>
      </c>
      <c r="J712" s="1">
        <v>0</v>
      </c>
      <c r="K712" s="1">
        <v>0</v>
      </c>
      <c r="L712" s="2">
        <v>2</v>
      </c>
      <c r="M712" s="1">
        <f t="shared" si="407"/>
        <v>7000000</v>
      </c>
      <c r="N712" s="1">
        <v>0</v>
      </c>
      <c r="O712" s="1">
        <v>0</v>
      </c>
      <c r="P712" s="1">
        <v>0</v>
      </c>
      <c r="Q712" s="1">
        <f>P712*1400</f>
        <v>0</v>
      </c>
      <c r="R712" s="1">
        <v>0</v>
      </c>
      <c r="S712" s="1">
        <f>R712*3751</f>
        <v>0</v>
      </c>
      <c r="T712" s="1">
        <v>0</v>
      </c>
      <c r="U712" s="1">
        <v>200000</v>
      </c>
      <c r="V712" s="1">
        <v>0</v>
      </c>
      <c r="W712" s="1">
        <v>0</v>
      </c>
      <c r="X712" s="1">
        <v>0</v>
      </c>
      <c r="Y712" s="1">
        <v>0</v>
      </c>
      <c r="Z712" s="1">
        <v>0</v>
      </c>
      <c r="AA712" s="1">
        <v>0</v>
      </c>
      <c r="AB712" s="1">
        <v>0</v>
      </c>
      <c r="AC712" s="1">
        <v>0</v>
      </c>
      <c r="AD712" s="1">
        <v>0</v>
      </c>
    </row>
    <row r="713" spans="1:30" s="20" customFormat="1" ht="36" customHeight="1" x14ac:dyDescent="0.25">
      <c r="A713" s="2">
        <f t="shared" si="396"/>
        <v>685</v>
      </c>
      <c r="B713" s="6">
        <f t="shared" si="406"/>
        <v>685</v>
      </c>
      <c r="C713" s="19" t="s">
        <v>2296</v>
      </c>
      <c r="D713" s="4">
        <f t="shared" si="392"/>
        <v>7200000</v>
      </c>
      <c r="E713" s="1">
        <f>SUM(F713:K713)</f>
        <v>0</v>
      </c>
      <c r="F713" s="1">
        <v>0</v>
      </c>
      <c r="G713" s="1">
        <v>0</v>
      </c>
      <c r="H713" s="1">
        <v>0</v>
      </c>
      <c r="I713" s="1">
        <v>0</v>
      </c>
      <c r="J713" s="1">
        <v>0</v>
      </c>
      <c r="K713" s="1">
        <v>0</v>
      </c>
      <c r="L713" s="2">
        <v>2</v>
      </c>
      <c r="M713" s="1">
        <f t="shared" si="381"/>
        <v>7000000</v>
      </c>
      <c r="N713" s="1">
        <v>0</v>
      </c>
      <c r="O713" s="1">
        <v>0</v>
      </c>
      <c r="P713" s="1">
        <v>0</v>
      </c>
      <c r="Q713" s="1">
        <f>P713*1400</f>
        <v>0</v>
      </c>
      <c r="R713" s="1">
        <v>0</v>
      </c>
      <c r="S713" s="1">
        <f>R713*3751</f>
        <v>0</v>
      </c>
      <c r="T713" s="1">
        <v>0</v>
      </c>
      <c r="U713" s="1">
        <v>200000</v>
      </c>
      <c r="V713" s="1">
        <v>0</v>
      </c>
      <c r="W713" s="1">
        <v>0</v>
      </c>
      <c r="X713" s="1">
        <v>0</v>
      </c>
      <c r="Y713" s="1">
        <v>0</v>
      </c>
      <c r="Z713" s="1">
        <v>0</v>
      </c>
      <c r="AA713" s="1">
        <v>0</v>
      </c>
      <c r="AB713" s="1">
        <v>0</v>
      </c>
      <c r="AC713" s="1">
        <v>0</v>
      </c>
      <c r="AD713" s="1">
        <v>0</v>
      </c>
    </row>
    <row r="714" spans="1:30" s="20" customFormat="1" ht="36" customHeight="1" x14ac:dyDescent="0.25">
      <c r="A714" s="2">
        <f t="shared" si="396"/>
        <v>686</v>
      </c>
      <c r="B714" s="3">
        <f t="shared" ref="B714" si="409">A714</f>
        <v>686</v>
      </c>
      <c r="C714" s="19" t="s">
        <v>967</v>
      </c>
      <c r="D714" s="4">
        <f t="shared" si="392"/>
        <v>4249627.2</v>
      </c>
      <c r="E714" s="1">
        <f t="shared" si="379"/>
        <v>0</v>
      </c>
      <c r="F714" s="1">
        <v>0</v>
      </c>
      <c r="G714" s="1">
        <v>0</v>
      </c>
      <c r="H714" s="1">
        <v>0</v>
      </c>
      <c r="I714" s="1">
        <v>0</v>
      </c>
      <c r="J714" s="1">
        <v>0</v>
      </c>
      <c r="K714" s="1">
        <v>0</v>
      </c>
      <c r="L714" s="2">
        <v>0</v>
      </c>
      <c r="M714" s="1">
        <v>0</v>
      </c>
      <c r="N714" s="1">
        <v>855.4</v>
      </c>
      <c r="O714" s="1">
        <f>N714*4968</f>
        <v>4249627.2</v>
      </c>
      <c r="P714" s="1">
        <v>0</v>
      </c>
      <c r="Q714" s="1">
        <f t="shared" si="377"/>
        <v>0</v>
      </c>
      <c r="R714" s="1">
        <v>0</v>
      </c>
      <c r="S714" s="1">
        <f t="shared" si="378"/>
        <v>0</v>
      </c>
      <c r="T714" s="1">
        <v>0</v>
      </c>
      <c r="U714" s="1">
        <v>0</v>
      </c>
      <c r="V714" s="1">
        <v>0</v>
      </c>
      <c r="W714" s="1">
        <v>0</v>
      </c>
      <c r="X714" s="1">
        <v>0</v>
      </c>
      <c r="Y714" s="1">
        <v>0</v>
      </c>
      <c r="Z714" s="1">
        <v>0</v>
      </c>
      <c r="AA714" s="1">
        <v>0</v>
      </c>
      <c r="AB714" s="1">
        <v>0</v>
      </c>
      <c r="AC714" s="1">
        <v>0</v>
      </c>
      <c r="AD714" s="1">
        <v>0</v>
      </c>
    </row>
    <row r="715" spans="1:30" s="20" customFormat="1" ht="36" customHeight="1" x14ac:dyDescent="0.25">
      <c r="A715" s="2">
        <f t="shared" si="396"/>
        <v>687</v>
      </c>
      <c r="B715" s="6">
        <f>A715</f>
        <v>687</v>
      </c>
      <c r="C715" s="19" t="s">
        <v>2297</v>
      </c>
      <c r="D715" s="4">
        <f t="shared" si="392"/>
        <v>17700000</v>
      </c>
      <c r="E715" s="1">
        <f>SUM(F715:K715)</f>
        <v>0</v>
      </c>
      <c r="F715" s="1">
        <v>0</v>
      </c>
      <c r="G715" s="1">
        <v>0</v>
      </c>
      <c r="H715" s="1">
        <v>0</v>
      </c>
      <c r="I715" s="1">
        <v>0</v>
      </c>
      <c r="J715" s="1">
        <v>0</v>
      </c>
      <c r="K715" s="1">
        <v>0</v>
      </c>
      <c r="L715" s="2">
        <v>5</v>
      </c>
      <c r="M715" s="1">
        <f t="shared" ref="M715" si="410">L715*3500000</f>
        <v>17500000</v>
      </c>
      <c r="N715" s="1">
        <v>0</v>
      </c>
      <c r="O715" s="1">
        <v>0</v>
      </c>
      <c r="P715" s="1">
        <v>0</v>
      </c>
      <c r="Q715" s="1">
        <f>P715*1400</f>
        <v>0</v>
      </c>
      <c r="R715" s="1">
        <v>0</v>
      </c>
      <c r="S715" s="1">
        <f>R715*3751</f>
        <v>0</v>
      </c>
      <c r="T715" s="1">
        <v>0</v>
      </c>
      <c r="U715" s="1">
        <v>200000</v>
      </c>
      <c r="V715" s="1">
        <v>0</v>
      </c>
      <c r="W715" s="1">
        <v>0</v>
      </c>
      <c r="X715" s="1">
        <v>0</v>
      </c>
      <c r="Y715" s="1">
        <v>0</v>
      </c>
      <c r="Z715" s="1">
        <v>0</v>
      </c>
      <c r="AA715" s="1">
        <v>0</v>
      </c>
      <c r="AB715" s="1">
        <v>0</v>
      </c>
      <c r="AC715" s="1">
        <v>0</v>
      </c>
      <c r="AD715" s="1">
        <v>0</v>
      </c>
    </row>
    <row r="716" spans="1:30" s="20" customFormat="1" ht="36" customHeight="1" x14ac:dyDescent="0.25">
      <c r="A716" s="2">
        <f t="shared" si="396"/>
        <v>688</v>
      </c>
      <c r="B716" s="6">
        <f>A716</f>
        <v>688</v>
      </c>
      <c r="C716" s="19" t="s">
        <v>2298</v>
      </c>
      <c r="D716" s="4">
        <f t="shared" si="392"/>
        <v>7200000</v>
      </c>
      <c r="E716" s="1">
        <f>SUM(F716:K716)</f>
        <v>0</v>
      </c>
      <c r="F716" s="1">
        <v>0</v>
      </c>
      <c r="G716" s="1">
        <v>0</v>
      </c>
      <c r="H716" s="1">
        <v>0</v>
      </c>
      <c r="I716" s="1">
        <v>0</v>
      </c>
      <c r="J716" s="1">
        <v>0</v>
      </c>
      <c r="K716" s="1">
        <v>0</v>
      </c>
      <c r="L716" s="2">
        <v>2</v>
      </c>
      <c r="M716" s="1">
        <f t="shared" ref="M716" si="411">L716*3500000</f>
        <v>7000000</v>
      </c>
      <c r="N716" s="1">
        <v>0</v>
      </c>
      <c r="O716" s="1">
        <v>0</v>
      </c>
      <c r="P716" s="1">
        <v>0</v>
      </c>
      <c r="Q716" s="1">
        <f>P716*1400</f>
        <v>0</v>
      </c>
      <c r="R716" s="1">
        <v>0</v>
      </c>
      <c r="S716" s="1">
        <f>R716*3751</f>
        <v>0</v>
      </c>
      <c r="T716" s="1">
        <v>0</v>
      </c>
      <c r="U716" s="1">
        <v>200000</v>
      </c>
      <c r="V716" s="1">
        <v>0</v>
      </c>
      <c r="W716" s="1">
        <v>0</v>
      </c>
      <c r="X716" s="1">
        <v>0</v>
      </c>
      <c r="Y716" s="1">
        <v>0</v>
      </c>
      <c r="Z716" s="1">
        <v>0</v>
      </c>
      <c r="AA716" s="1">
        <v>0</v>
      </c>
      <c r="AB716" s="1">
        <v>0</v>
      </c>
      <c r="AC716" s="1">
        <v>0</v>
      </c>
      <c r="AD716" s="1">
        <v>0</v>
      </c>
    </row>
    <row r="717" spans="1:30" s="20" customFormat="1" ht="36" customHeight="1" x14ac:dyDescent="0.25">
      <c r="A717" s="2">
        <f t="shared" si="396"/>
        <v>689</v>
      </c>
      <c r="B717" s="6">
        <f>A717</f>
        <v>689</v>
      </c>
      <c r="C717" s="19" t="s">
        <v>2299</v>
      </c>
      <c r="D717" s="4">
        <f t="shared" si="392"/>
        <v>14200000</v>
      </c>
      <c r="E717" s="1">
        <f>SUM(F717:K717)</f>
        <v>0</v>
      </c>
      <c r="F717" s="1">
        <v>0</v>
      </c>
      <c r="G717" s="1">
        <v>0</v>
      </c>
      <c r="H717" s="1">
        <v>0</v>
      </c>
      <c r="I717" s="1">
        <v>0</v>
      </c>
      <c r="J717" s="1">
        <v>0</v>
      </c>
      <c r="K717" s="1">
        <v>0</v>
      </c>
      <c r="L717" s="2">
        <v>4</v>
      </c>
      <c r="M717" s="1">
        <f t="shared" ref="M717" si="412">L717*3500000</f>
        <v>14000000</v>
      </c>
      <c r="N717" s="1">
        <v>0</v>
      </c>
      <c r="O717" s="1">
        <v>0</v>
      </c>
      <c r="P717" s="1">
        <v>0</v>
      </c>
      <c r="Q717" s="1">
        <f>P717*1400</f>
        <v>0</v>
      </c>
      <c r="R717" s="1">
        <v>0</v>
      </c>
      <c r="S717" s="1">
        <f>R717*3751</f>
        <v>0</v>
      </c>
      <c r="T717" s="1">
        <v>0</v>
      </c>
      <c r="U717" s="1">
        <v>200000</v>
      </c>
      <c r="V717" s="1">
        <v>0</v>
      </c>
      <c r="W717" s="1">
        <v>0</v>
      </c>
      <c r="X717" s="1">
        <v>0</v>
      </c>
      <c r="Y717" s="1">
        <v>0</v>
      </c>
      <c r="Z717" s="1">
        <v>0</v>
      </c>
      <c r="AA717" s="1">
        <v>0</v>
      </c>
      <c r="AB717" s="1">
        <v>0</v>
      </c>
      <c r="AC717" s="1">
        <v>0</v>
      </c>
      <c r="AD717" s="1">
        <v>0</v>
      </c>
    </row>
    <row r="718" spans="1:30" s="20" customFormat="1" ht="36" customHeight="1" x14ac:dyDescent="0.25">
      <c r="A718" s="2">
        <f t="shared" si="396"/>
        <v>690</v>
      </c>
      <c r="B718" s="6">
        <f t="shared" si="405"/>
        <v>690</v>
      </c>
      <c r="C718" s="19" t="s">
        <v>444</v>
      </c>
      <c r="D718" s="4">
        <f t="shared" si="392"/>
        <v>3795287</v>
      </c>
      <c r="E718" s="1">
        <f t="shared" si="379"/>
        <v>3625287</v>
      </c>
      <c r="F718" s="1">
        <f>804*923.64</f>
        <v>742606.55999999994</v>
      </c>
      <c r="G718" s="1">
        <f>1693*923.64</f>
        <v>1563722.52</v>
      </c>
      <c r="H718" s="1">
        <f>390*923.64</f>
        <v>360219.6</v>
      </c>
      <c r="I718" s="1">
        <f>571*923.64</f>
        <v>527398.43999999994</v>
      </c>
      <c r="J718" s="1">
        <f>467*923.64</f>
        <v>431339.88</v>
      </c>
      <c r="K718" s="1">
        <v>0</v>
      </c>
      <c r="L718" s="2">
        <v>0</v>
      </c>
      <c r="M718" s="1">
        <f t="shared" si="381"/>
        <v>0</v>
      </c>
      <c r="N718" s="1">
        <v>0</v>
      </c>
      <c r="O718" s="1">
        <v>0</v>
      </c>
      <c r="P718" s="1">
        <v>50</v>
      </c>
      <c r="Q718" s="1">
        <f t="shared" si="377"/>
        <v>70000</v>
      </c>
      <c r="R718" s="1">
        <v>0</v>
      </c>
      <c r="S718" s="1">
        <f t="shared" si="378"/>
        <v>0</v>
      </c>
      <c r="T718" s="1">
        <v>0</v>
      </c>
      <c r="U718" s="1">
        <v>50000</v>
      </c>
      <c r="V718" s="1">
        <v>0</v>
      </c>
      <c r="W718" s="1">
        <v>50000</v>
      </c>
      <c r="X718" s="1">
        <v>0</v>
      </c>
      <c r="Y718" s="1">
        <v>0</v>
      </c>
      <c r="Z718" s="1">
        <v>0</v>
      </c>
      <c r="AA718" s="1">
        <v>0</v>
      </c>
      <c r="AB718" s="1">
        <v>0</v>
      </c>
      <c r="AC718" s="1">
        <v>0</v>
      </c>
      <c r="AD718" s="1">
        <v>0</v>
      </c>
    </row>
    <row r="719" spans="1:30" s="20" customFormat="1" ht="36" customHeight="1" x14ac:dyDescent="0.25">
      <c r="A719" s="2">
        <f t="shared" si="396"/>
        <v>691</v>
      </c>
      <c r="B719" s="6">
        <f t="shared" si="405"/>
        <v>691</v>
      </c>
      <c r="C719" s="19" t="s">
        <v>445</v>
      </c>
      <c r="D719" s="4">
        <f t="shared" si="392"/>
        <v>8705397.5</v>
      </c>
      <c r="E719" s="1">
        <f t="shared" si="379"/>
        <v>6317287.5</v>
      </c>
      <c r="F719" s="1">
        <f>804*1609.5</f>
        <v>1294038</v>
      </c>
      <c r="G719" s="1">
        <f>1693*1609.5</f>
        <v>2724883.5</v>
      </c>
      <c r="H719" s="1">
        <f>390*1609.5</f>
        <v>627705</v>
      </c>
      <c r="I719" s="1">
        <f>571*1609.5</f>
        <v>919024.5</v>
      </c>
      <c r="J719" s="1">
        <f>467*1609.5</f>
        <v>751636.5</v>
      </c>
      <c r="K719" s="1">
        <v>0</v>
      </c>
      <c r="L719" s="2">
        <v>0</v>
      </c>
      <c r="M719" s="1">
        <f t="shared" si="381"/>
        <v>0</v>
      </c>
      <c r="N719" s="1">
        <v>0</v>
      </c>
      <c r="O719" s="1">
        <v>0</v>
      </c>
      <c r="P719" s="1">
        <v>0</v>
      </c>
      <c r="Q719" s="1">
        <f t="shared" si="377"/>
        <v>0</v>
      </c>
      <c r="R719" s="1">
        <v>610</v>
      </c>
      <c r="S719" s="1">
        <f t="shared" si="378"/>
        <v>2288110</v>
      </c>
      <c r="T719" s="1">
        <v>0</v>
      </c>
      <c r="U719" s="1">
        <v>50000</v>
      </c>
      <c r="V719" s="1">
        <v>0</v>
      </c>
      <c r="W719" s="1">
        <v>50000</v>
      </c>
      <c r="X719" s="1">
        <v>0</v>
      </c>
      <c r="Y719" s="1">
        <v>0</v>
      </c>
      <c r="Z719" s="1">
        <v>0</v>
      </c>
      <c r="AA719" s="1">
        <v>0</v>
      </c>
      <c r="AB719" s="1">
        <v>0</v>
      </c>
      <c r="AC719" s="1">
        <v>0</v>
      </c>
      <c r="AD719" s="1">
        <v>0</v>
      </c>
    </row>
    <row r="720" spans="1:30" s="20" customFormat="1" ht="36" customHeight="1" x14ac:dyDescent="0.25">
      <c r="A720" s="2">
        <f t="shared" si="396"/>
        <v>692</v>
      </c>
      <c r="B720" s="6">
        <f t="shared" si="405"/>
        <v>692</v>
      </c>
      <c r="C720" s="19" t="s">
        <v>446</v>
      </c>
      <c r="D720" s="4">
        <f t="shared" si="392"/>
        <v>2111955</v>
      </c>
      <c r="E720" s="1">
        <f t="shared" si="379"/>
        <v>2011955.0000000002</v>
      </c>
      <c r="F720" s="1">
        <f>804*512.6</f>
        <v>412130.4</v>
      </c>
      <c r="G720" s="1">
        <f>1693*512.6</f>
        <v>867831.8</v>
      </c>
      <c r="H720" s="1">
        <f>390*512.6</f>
        <v>199914</v>
      </c>
      <c r="I720" s="1">
        <f>571*512.6</f>
        <v>292694.60000000003</v>
      </c>
      <c r="J720" s="1">
        <f>467*512.6</f>
        <v>239384.2</v>
      </c>
      <c r="K720" s="1">
        <v>0</v>
      </c>
      <c r="L720" s="2">
        <v>0</v>
      </c>
      <c r="M720" s="1">
        <f t="shared" si="381"/>
        <v>0</v>
      </c>
      <c r="N720" s="1">
        <v>0</v>
      </c>
      <c r="O720" s="1">
        <v>0</v>
      </c>
      <c r="P720" s="1">
        <v>0</v>
      </c>
      <c r="Q720" s="1">
        <f t="shared" si="377"/>
        <v>0</v>
      </c>
      <c r="R720" s="1">
        <v>0</v>
      </c>
      <c r="S720" s="1">
        <f t="shared" si="378"/>
        <v>0</v>
      </c>
      <c r="T720" s="1">
        <v>0</v>
      </c>
      <c r="U720" s="1">
        <v>50000</v>
      </c>
      <c r="V720" s="1">
        <v>0</v>
      </c>
      <c r="W720" s="1">
        <v>50000</v>
      </c>
      <c r="X720" s="1">
        <v>0</v>
      </c>
      <c r="Y720" s="1">
        <v>0</v>
      </c>
      <c r="Z720" s="1">
        <v>0</v>
      </c>
      <c r="AA720" s="1">
        <v>0</v>
      </c>
      <c r="AB720" s="1">
        <v>0</v>
      </c>
      <c r="AC720" s="1">
        <v>0</v>
      </c>
      <c r="AD720" s="1">
        <v>0</v>
      </c>
    </row>
    <row r="721" spans="1:30" s="20" customFormat="1" ht="36" customHeight="1" x14ac:dyDescent="0.25">
      <c r="A721" s="2">
        <f t="shared" si="396"/>
        <v>693</v>
      </c>
      <c r="B721" s="6">
        <f t="shared" si="405"/>
        <v>693</v>
      </c>
      <c r="C721" s="19" t="s">
        <v>447</v>
      </c>
      <c r="D721" s="4">
        <f t="shared" si="392"/>
        <v>9833718.25</v>
      </c>
      <c r="E721" s="1">
        <f t="shared" si="379"/>
        <v>6995488.2499999991</v>
      </c>
      <c r="F721" s="1">
        <f>804*1782.29</f>
        <v>1432961.16</v>
      </c>
      <c r="G721" s="1">
        <f>1693*1782.29</f>
        <v>3017416.9699999997</v>
      </c>
      <c r="H721" s="1">
        <f>390*1782.29</f>
        <v>695093.1</v>
      </c>
      <c r="I721" s="1">
        <f>571*1782.29</f>
        <v>1017687.59</v>
      </c>
      <c r="J721" s="1">
        <f>467*1782.29</f>
        <v>832329.42999999993</v>
      </c>
      <c r="K721" s="1">
        <v>0</v>
      </c>
      <c r="L721" s="2">
        <v>0</v>
      </c>
      <c r="M721" s="1">
        <f t="shared" si="381"/>
        <v>0</v>
      </c>
      <c r="N721" s="1">
        <v>0</v>
      </c>
      <c r="O721" s="1">
        <v>0</v>
      </c>
      <c r="P721" s="1">
        <v>0</v>
      </c>
      <c r="Q721" s="1">
        <f t="shared" si="377"/>
        <v>0</v>
      </c>
      <c r="R721" s="1">
        <v>730</v>
      </c>
      <c r="S721" s="1">
        <f t="shared" si="378"/>
        <v>2738230</v>
      </c>
      <c r="T721" s="1">
        <v>0</v>
      </c>
      <c r="U721" s="1">
        <v>50000</v>
      </c>
      <c r="V721" s="1">
        <v>0</v>
      </c>
      <c r="W721" s="1">
        <v>50000</v>
      </c>
      <c r="X721" s="1">
        <v>0</v>
      </c>
      <c r="Y721" s="1">
        <v>0</v>
      </c>
      <c r="Z721" s="1">
        <v>0</v>
      </c>
      <c r="AA721" s="1">
        <v>0</v>
      </c>
      <c r="AB721" s="1">
        <v>0</v>
      </c>
      <c r="AC721" s="1">
        <v>0</v>
      </c>
      <c r="AD721" s="1">
        <v>0</v>
      </c>
    </row>
    <row r="722" spans="1:30" s="20" customFormat="1" ht="36" customHeight="1" x14ac:dyDescent="0.25">
      <c r="A722" s="2">
        <f t="shared" si="396"/>
        <v>694</v>
      </c>
      <c r="B722" s="6">
        <f t="shared" si="405"/>
        <v>694</v>
      </c>
      <c r="C722" s="19" t="s">
        <v>448</v>
      </c>
      <c r="D722" s="4">
        <f t="shared" si="392"/>
        <v>10959317.25</v>
      </c>
      <c r="E722" s="1">
        <f t="shared" si="379"/>
        <v>7858517.25</v>
      </c>
      <c r="F722" s="1">
        <f>804*2002.17</f>
        <v>1609744.6800000002</v>
      </c>
      <c r="G722" s="1">
        <f>1693*2002.17</f>
        <v>3389673.81</v>
      </c>
      <c r="H722" s="1">
        <f>390*2002.17</f>
        <v>780846.3</v>
      </c>
      <c r="I722" s="1">
        <f>571*2002.17</f>
        <v>1143239.07</v>
      </c>
      <c r="J722" s="1">
        <f>467*2002.17</f>
        <v>935013.39</v>
      </c>
      <c r="K722" s="1">
        <v>0</v>
      </c>
      <c r="L722" s="2">
        <v>0</v>
      </c>
      <c r="M722" s="1">
        <f t="shared" si="381"/>
        <v>0</v>
      </c>
      <c r="N722" s="1">
        <v>0</v>
      </c>
      <c r="O722" s="1">
        <v>0</v>
      </c>
      <c r="P722" s="1">
        <v>0</v>
      </c>
      <c r="Q722" s="1">
        <f t="shared" si="377"/>
        <v>0</v>
      </c>
      <c r="R722" s="1">
        <v>800</v>
      </c>
      <c r="S722" s="1">
        <f t="shared" si="378"/>
        <v>3000800</v>
      </c>
      <c r="T722" s="1">
        <v>0</v>
      </c>
      <c r="U722" s="1">
        <v>50000</v>
      </c>
      <c r="V722" s="1">
        <v>0</v>
      </c>
      <c r="W722" s="1">
        <v>50000</v>
      </c>
      <c r="X722" s="1">
        <v>0</v>
      </c>
      <c r="Y722" s="1">
        <v>0</v>
      </c>
      <c r="Z722" s="1">
        <v>0</v>
      </c>
      <c r="AA722" s="1">
        <v>0</v>
      </c>
      <c r="AB722" s="1">
        <v>0</v>
      </c>
      <c r="AC722" s="1">
        <v>0</v>
      </c>
      <c r="AD722" s="1">
        <v>0</v>
      </c>
    </row>
    <row r="723" spans="1:30" s="20" customFormat="1" ht="36" customHeight="1" x14ac:dyDescent="0.25">
      <c r="A723" s="2">
        <f t="shared" si="396"/>
        <v>695</v>
      </c>
      <c r="B723" s="6">
        <f t="shared" si="405"/>
        <v>695</v>
      </c>
      <c r="C723" s="19" t="s">
        <v>449</v>
      </c>
      <c r="D723" s="4">
        <f t="shared" si="392"/>
        <v>33442129.249999996</v>
      </c>
      <c r="E723" s="1">
        <f t="shared" si="379"/>
        <v>33342129.249999996</v>
      </c>
      <c r="F723" s="1">
        <f>804*8494.81</f>
        <v>6829827.2399999993</v>
      </c>
      <c r="G723" s="1">
        <f>1693*8494.81</f>
        <v>14381713.329999998</v>
      </c>
      <c r="H723" s="1">
        <f>390*8494.81</f>
        <v>3312975.9</v>
      </c>
      <c r="I723" s="1">
        <f>571*8494.81</f>
        <v>4850536.51</v>
      </c>
      <c r="J723" s="1">
        <f>467*8494.81</f>
        <v>3967076.2699999996</v>
      </c>
      <c r="K723" s="1">
        <v>0</v>
      </c>
      <c r="L723" s="2">
        <v>0</v>
      </c>
      <c r="M723" s="1">
        <f t="shared" si="381"/>
        <v>0</v>
      </c>
      <c r="N723" s="1">
        <v>0</v>
      </c>
      <c r="O723" s="1">
        <v>0</v>
      </c>
      <c r="P723" s="1">
        <v>0</v>
      </c>
      <c r="Q723" s="1">
        <f t="shared" si="377"/>
        <v>0</v>
      </c>
      <c r="R723" s="1">
        <v>0</v>
      </c>
      <c r="S723" s="1">
        <f t="shared" si="378"/>
        <v>0</v>
      </c>
      <c r="T723" s="1">
        <v>0</v>
      </c>
      <c r="U723" s="1">
        <v>50000</v>
      </c>
      <c r="V723" s="1">
        <v>0</v>
      </c>
      <c r="W723" s="1">
        <v>50000</v>
      </c>
      <c r="X723" s="1">
        <v>0</v>
      </c>
      <c r="Y723" s="1">
        <v>0</v>
      </c>
      <c r="Z723" s="1">
        <v>0</v>
      </c>
      <c r="AA723" s="1">
        <v>0</v>
      </c>
      <c r="AB723" s="1">
        <v>0</v>
      </c>
      <c r="AC723" s="1">
        <v>0</v>
      </c>
      <c r="AD723" s="1">
        <v>0</v>
      </c>
    </row>
    <row r="724" spans="1:30" s="20" customFormat="1" ht="36" customHeight="1" x14ac:dyDescent="0.25">
      <c r="A724" s="2">
        <f t="shared" si="396"/>
        <v>696</v>
      </c>
      <c r="B724" s="6">
        <f t="shared" si="405"/>
        <v>696</v>
      </c>
      <c r="C724" s="19" t="s">
        <v>450</v>
      </c>
      <c r="D724" s="4">
        <f t="shared" si="392"/>
        <v>13730174.75</v>
      </c>
      <c r="E724" s="1">
        <f t="shared" si="379"/>
        <v>8941424.75</v>
      </c>
      <c r="F724" s="1">
        <f>804*2278.07</f>
        <v>1831568.28</v>
      </c>
      <c r="G724" s="1">
        <f>1693*2278.07</f>
        <v>3856772.5100000002</v>
      </c>
      <c r="H724" s="1">
        <f>390*2278.07</f>
        <v>888447.3</v>
      </c>
      <c r="I724" s="1">
        <f>571*2278.07</f>
        <v>1300777.9700000002</v>
      </c>
      <c r="J724" s="1">
        <f>467*2278.07</f>
        <v>1063858.6900000002</v>
      </c>
      <c r="K724" s="1">
        <v>0</v>
      </c>
      <c r="L724" s="2">
        <v>0</v>
      </c>
      <c r="M724" s="1">
        <f t="shared" si="381"/>
        <v>0</v>
      </c>
      <c r="N724" s="1">
        <v>0</v>
      </c>
      <c r="O724" s="1">
        <v>0</v>
      </c>
      <c r="P724" s="1">
        <v>0</v>
      </c>
      <c r="Q724" s="1">
        <f t="shared" si="377"/>
        <v>0</v>
      </c>
      <c r="R724" s="1">
        <v>1250</v>
      </c>
      <c r="S724" s="1">
        <f t="shared" si="378"/>
        <v>4688750</v>
      </c>
      <c r="T724" s="1">
        <v>0</v>
      </c>
      <c r="U724" s="1">
        <v>50000</v>
      </c>
      <c r="V724" s="1">
        <v>0</v>
      </c>
      <c r="W724" s="1">
        <v>50000</v>
      </c>
      <c r="X724" s="1">
        <v>0</v>
      </c>
      <c r="Y724" s="1">
        <v>0</v>
      </c>
      <c r="Z724" s="1">
        <v>0</v>
      </c>
      <c r="AA724" s="1">
        <v>0</v>
      </c>
      <c r="AB724" s="1">
        <v>0</v>
      </c>
      <c r="AC724" s="1">
        <v>0</v>
      </c>
      <c r="AD724" s="1">
        <v>0</v>
      </c>
    </row>
    <row r="725" spans="1:30" s="20" customFormat="1" ht="36" customHeight="1" x14ac:dyDescent="0.25">
      <c r="A725" s="2">
        <f t="shared" si="396"/>
        <v>697</v>
      </c>
      <c r="B725" s="6">
        <f>A725</f>
        <v>697</v>
      </c>
      <c r="C725" s="19" t="s">
        <v>2300</v>
      </c>
      <c r="D725" s="4">
        <f t="shared" si="392"/>
        <v>14200000</v>
      </c>
      <c r="E725" s="1">
        <f>SUM(F725:K725)</f>
        <v>0</v>
      </c>
      <c r="F725" s="1">
        <v>0</v>
      </c>
      <c r="G725" s="1">
        <v>0</v>
      </c>
      <c r="H725" s="1">
        <v>0</v>
      </c>
      <c r="I725" s="1">
        <v>0</v>
      </c>
      <c r="J725" s="1">
        <v>0</v>
      </c>
      <c r="K725" s="1">
        <v>0</v>
      </c>
      <c r="L725" s="2">
        <v>4</v>
      </c>
      <c r="M725" s="1">
        <f t="shared" si="381"/>
        <v>14000000</v>
      </c>
      <c r="N725" s="1">
        <v>0</v>
      </c>
      <c r="O725" s="1">
        <v>0</v>
      </c>
      <c r="P725" s="1">
        <v>0</v>
      </c>
      <c r="Q725" s="1">
        <f>P725*1400</f>
        <v>0</v>
      </c>
      <c r="R725" s="1">
        <v>0</v>
      </c>
      <c r="S725" s="1">
        <f>R725*3751</f>
        <v>0</v>
      </c>
      <c r="T725" s="1">
        <v>0</v>
      </c>
      <c r="U725" s="1">
        <v>200000</v>
      </c>
      <c r="V725" s="1">
        <v>0</v>
      </c>
      <c r="W725" s="1">
        <v>0</v>
      </c>
      <c r="X725" s="1">
        <v>0</v>
      </c>
      <c r="Y725" s="1">
        <v>0</v>
      </c>
      <c r="Z725" s="1">
        <v>0</v>
      </c>
      <c r="AA725" s="1">
        <v>0</v>
      </c>
      <c r="AB725" s="1">
        <v>0</v>
      </c>
      <c r="AC725" s="1">
        <v>0</v>
      </c>
      <c r="AD725" s="1">
        <v>0</v>
      </c>
    </row>
    <row r="726" spans="1:30" s="20" customFormat="1" ht="36" customHeight="1" x14ac:dyDescent="0.25">
      <c r="A726" s="2">
        <f t="shared" si="396"/>
        <v>698</v>
      </c>
      <c r="B726" s="6">
        <f t="shared" si="405"/>
        <v>698</v>
      </c>
      <c r="C726" s="19" t="s">
        <v>451</v>
      </c>
      <c r="D726" s="4">
        <f t="shared" si="392"/>
        <v>14357442.499999998</v>
      </c>
      <c r="E726" s="1">
        <f t="shared" si="379"/>
        <v>9381142.4999999981</v>
      </c>
      <c r="F726" s="1">
        <f>804*2390.1</f>
        <v>1921640.4</v>
      </c>
      <c r="G726" s="1">
        <f>1693*2390.1</f>
        <v>4046439.3</v>
      </c>
      <c r="H726" s="1">
        <f>390*2390.1</f>
        <v>932139</v>
      </c>
      <c r="I726" s="1">
        <f>571*2390.1</f>
        <v>1364747.0999999999</v>
      </c>
      <c r="J726" s="1">
        <f>467*2390.1</f>
        <v>1116176.7</v>
      </c>
      <c r="K726" s="1">
        <v>0</v>
      </c>
      <c r="L726" s="2">
        <v>0</v>
      </c>
      <c r="M726" s="1">
        <f t="shared" si="381"/>
        <v>0</v>
      </c>
      <c r="N726" s="1">
        <v>0</v>
      </c>
      <c r="O726" s="1">
        <v>0</v>
      </c>
      <c r="P726" s="1">
        <v>0</v>
      </c>
      <c r="Q726" s="1">
        <f t="shared" si="377"/>
        <v>0</v>
      </c>
      <c r="R726" s="1">
        <v>1300</v>
      </c>
      <c r="S726" s="1">
        <f t="shared" si="378"/>
        <v>4876300</v>
      </c>
      <c r="T726" s="1">
        <v>0</v>
      </c>
      <c r="U726" s="1">
        <v>50000</v>
      </c>
      <c r="V726" s="1">
        <v>0</v>
      </c>
      <c r="W726" s="1">
        <v>50000</v>
      </c>
      <c r="X726" s="1">
        <v>0</v>
      </c>
      <c r="Y726" s="1">
        <v>0</v>
      </c>
      <c r="Z726" s="1">
        <v>0</v>
      </c>
      <c r="AA726" s="1">
        <v>0</v>
      </c>
      <c r="AB726" s="1">
        <v>0</v>
      </c>
      <c r="AC726" s="1">
        <v>0</v>
      </c>
      <c r="AD726" s="1">
        <v>0</v>
      </c>
    </row>
    <row r="727" spans="1:30" s="20" customFormat="1" ht="36" customHeight="1" x14ac:dyDescent="0.25">
      <c r="A727" s="2">
        <f t="shared" si="396"/>
        <v>699</v>
      </c>
      <c r="B727" s="6">
        <f t="shared" ref="B727:B732" si="413">A727</f>
        <v>699</v>
      </c>
      <c r="C727" s="19" t="s">
        <v>2301</v>
      </c>
      <c r="D727" s="4">
        <f t="shared" si="392"/>
        <v>10700000</v>
      </c>
      <c r="E727" s="1">
        <f t="shared" ref="E727:E732" si="414">SUM(F727:K727)</f>
        <v>0</v>
      </c>
      <c r="F727" s="1">
        <v>0</v>
      </c>
      <c r="G727" s="1">
        <v>0</v>
      </c>
      <c r="H727" s="1">
        <v>0</v>
      </c>
      <c r="I727" s="1">
        <v>0</v>
      </c>
      <c r="J727" s="1">
        <v>0</v>
      </c>
      <c r="K727" s="1">
        <v>0</v>
      </c>
      <c r="L727" s="2">
        <v>3</v>
      </c>
      <c r="M727" s="1">
        <f t="shared" ref="M727" si="415">L727*3500000</f>
        <v>10500000</v>
      </c>
      <c r="N727" s="1">
        <v>0</v>
      </c>
      <c r="O727" s="1">
        <v>0</v>
      </c>
      <c r="P727" s="1">
        <v>0</v>
      </c>
      <c r="Q727" s="1">
        <f t="shared" ref="Q727:Q732" si="416">P727*1400</f>
        <v>0</v>
      </c>
      <c r="R727" s="1">
        <v>0</v>
      </c>
      <c r="S727" s="1">
        <f t="shared" ref="S727:S732" si="417">R727*3751</f>
        <v>0</v>
      </c>
      <c r="T727" s="1">
        <v>0</v>
      </c>
      <c r="U727" s="1">
        <v>200000</v>
      </c>
      <c r="V727" s="1">
        <v>0</v>
      </c>
      <c r="W727" s="1">
        <v>0</v>
      </c>
      <c r="X727" s="1">
        <v>0</v>
      </c>
      <c r="Y727" s="1">
        <v>0</v>
      </c>
      <c r="Z727" s="1">
        <v>0</v>
      </c>
      <c r="AA727" s="1">
        <v>0</v>
      </c>
      <c r="AB727" s="1">
        <v>0</v>
      </c>
      <c r="AC727" s="1">
        <v>0</v>
      </c>
      <c r="AD727" s="1">
        <v>0</v>
      </c>
    </row>
    <row r="728" spans="1:30" s="20" customFormat="1" ht="36" customHeight="1" x14ac:dyDescent="0.25">
      <c r="A728" s="2">
        <f t="shared" si="396"/>
        <v>700</v>
      </c>
      <c r="B728" s="6">
        <f t="shared" si="413"/>
        <v>700</v>
      </c>
      <c r="C728" s="19" t="s">
        <v>2302</v>
      </c>
      <c r="D728" s="4">
        <f t="shared" si="392"/>
        <v>7200000</v>
      </c>
      <c r="E728" s="1">
        <f t="shared" si="414"/>
        <v>0</v>
      </c>
      <c r="F728" s="1">
        <v>0</v>
      </c>
      <c r="G728" s="1">
        <v>0</v>
      </c>
      <c r="H728" s="1">
        <v>0</v>
      </c>
      <c r="I728" s="1">
        <v>0</v>
      </c>
      <c r="J728" s="1">
        <v>0</v>
      </c>
      <c r="K728" s="1">
        <v>0</v>
      </c>
      <c r="L728" s="2">
        <v>2</v>
      </c>
      <c r="M728" s="1">
        <f>L728*3500000</f>
        <v>7000000</v>
      </c>
      <c r="N728" s="1">
        <v>0</v>
      </c>
      <c r="O728" s="1">
        <v>0</v>
      </c>
      <c r="P728" s="1">
        <v>0</v>
      </c>
      <c r="Q728" s="1">
        <f t="shared" si="416"/>
        <v>0</v>
      </c>
      <c r="R728" s="1">
        <v>0</v>
      </c>
      <c r="S728" s="1">
        <f t="shared" si="417"/>
        <v>0</v>
      </c>
      <c r="T728" s="1">
        <v>0</v>
      </c>
      <c r="U728" s="1">
        <v>200000</v>
      </c>
      <c r="V728" s="1">
        <v>0</v>
      </c>
      <c r="W728" s="1">
        <v>0</v>
      </c>
      <c r="X728" s="1">
        <v>0</v>
      </c>
      <c r="Y728" s="1">
        <v>0</v>
      </c>
      <c r="Z728" s="1">
        <v>0</v>
      </c>
      <c r="AA728" s="1">
        <v>0</v>
      </c>
      <c r="AB728" s="1">
        <v>0</v>
      </c>
      <c r="AC728" s="1">
        <v>0</v>
      </c>
      <c r="AD728" s="1">
        <v>0</v>
      </c>
    </row>
    <row r="729" spans="1:30" s="20" customFormat="1" ht="36" customHeight="1" x14ac:dyDescent="0.25">
      <c r="A729" s="2">
        <f t="shared" si="396"/>
        <v>701</v>
      </c>
      <c r="B729" s="6">
        <f t="shared" si="413"/>
        <v>701</v>
      </c>
      <c r="C729" s="19" t="s">
        <v>2303</v>
      </c>
      <c r="D729" s="4">
        <f t="shared" si="392"/>
        <v>7200000</v>
      </c>
      <c r="E729" s="1">
        <f t="shared" si="414"/>
        <v>0</v>
      </c>
      <c r="F729" s="1">
        <v>0</v>
      </c>
      <c r="G729" s="1">
        <v>0</v>
      </c>
      <c r="H729" s="1">
        <v>0</v>
      </c>
      <c r="I729" s="1">
        <v>0</v>
      </c>
      <c r="J729" s="1">
        <v>0</v>
      </c>
      <c r="K729" s="1">
        <v>0</v>
      </c>
      <c r="L729" s="2">
        <v>2</v>
      </c>
      <c r="M729" s="1">
        <f t="shared" ref="M729" si="418">L729*3500000</f>
        <v>7000000</v>
      </c>
      <c r="N729" s="1">
        <v>0</v>
      </c>
      <c r="O729" s="1">
        <v>0</v>
      </c>
      <c r="P729" s="1">
        <v>0</v>
      </c>
      <c r="Q729" s="1">
        <f t="shared" si="416"/>
        <v>0</v>
      </c>
      <c r="R729" s="1">
        <v>0</v>
      </c>
      <c r="S729" s="1">
        <f t="shared" si="417"/>
        <v>0</v>
      </c>
      <c r="T729" s="1">
        <v>0</v>
      </c>
      <c r="U729" s="1">
        <v>200000</v>
      </c>
      <c r="V729" s="1">
        <v>0</v>
      </c>
      <c r="W729" s="1">
        <v>0</v>
      </c>
      <c r="X729" s="1">
        <v>0</v>
      </c>
      <c r="Y729" s="1">
        <v>0</v>
      </c>
      <c r="Z729" s="1">
        <v>0</v>
      </c>
      <c r="AA729" s="1">
        <v>0</v>
      </c>
      <c r="AB729" s="1">
        <v>0</v>
      </c>
      <c r="AC729" s="1">
        <v>0</v>
      </c>
      <c r="AD729" s="1">
        <v>0</v>
      </c>
    </row>
    <row r="730" spans="1:30" s="20" customFormat="1" ht="36" customHeight="1" x14ac:dyDescent="0.25">
      <c r="A730" s="2">
        <f t="shared" si="396"/>
        <v>702</v>
      </c>
      <c r="B730" s="6">
        <f t="shared" si="413"/>
        <v>702</v>
      </c>
      <c r="C730" s="19" t="s">
        <v>2304</v>
      </c>
      <c r="D730" s="4">
        <f t="shared" si="392"/>
        <v>7200000</v>
      </c>
      <c r="E730" s="1">
        <f t="shared" si="414"/>
        <v>0</v>
      </c>
      <c r="F730" s="1">
        <v>0</v>
      </c>
      <c r="G730" s="1">
        <v>0</v>
      </c>
      <c r="H730" s="1">
        <v>0</v>
      </c>
      <c r="I730" s="1">
        <v>0</v>
      </c>
      <c r="J730" s="1">
        <v>0</v>
      </c>
      <c r="K730" s="1">
        <v>0</v>
      </c>
      <c r="L730" s="2">
        <v>2</v>
      </c>
      <c r="M730" s="1">
        <f>L730*3500000</f>
        <v>7000000</v>
      </c>
      <c r="N730" s="1">
        <v>0</v>
      </c>
      <c r="O730" s="1">
        <v>0</v>
      </c>
      <c r="P730" s="1">
        <v>0</v>
      </c>
      <c r="Q730" s="1">
        <f t="shared" si="416"/>
        <v>0</v>
      </c>
      <c r="R730" s="1">
        <v>0</v>
      </c>
      <c r="S730" s="1">
        <f t="shared" si="417"/>
        <v>0</v>
      </c>
      <c r="T730" s="1">
        <v>0</v>
      </c>
      <c r="U730" s="1">
        <v>200000</v>
      </c>
      <c r="V730" s="1">
        <v>0</v>
      </c>
      <c r="W730" s="1">
        <v>0</v>
      </c>
      <c r="X730" s="1">
        <v>0</v>
      </c>
      <c r="Y730" s="1">
        <v>0</v>
      </c>
      <c r="Z730" s="1">
        <v>0</v>
      </c>
      <c r="AA730" s="1">
        <v>0</v>
      </c>
      <c r="AB730" s="1">
        <v>0</v>
      </c>
      <c r="AC730" s="1">
        <v>0</v>
      </c>
      <c r="AD730" s="1">
        <v>0</v>
      </c>
    </row>
    <row r="731" spans="1:30" s="20" customFormat="1" ht="36" customHeight="1" x14ac:dyDescent="0.25">
      <c r="A731" s="2">
        <f t="shared" si="396"/>
        <v>703</v>
      </c>
      <c r="B731" s="6">
        <f t="shared" si="413"/>
        <v>703</v>
      </c>
      <c r="C731" s="19" t="s">
        <v>2305</v>
      </c>
      <c r="D731" s="4">
        <f t="shared" si="392"/>
        <v>7200000</v>
      </c>
      <c r="E731" s="1">
        <f t="shared" si="414"/>
        <v>0</v>
      </c>
      <c r="F731" s="1">
        <v>0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2">
        <v>2</v>
      </c>
      <c r="M731" s="1">
        <f t="shared" ref="M731" si="419">L731*3500000</f>
        <v>7000000</v>
      </c>
      <c r="N731" s="1">
        <v>0</v>
      </c>
      <c r="O731" s="1">
        <v>0</v>
      </c>
      <c r="P731" s="1">
        <v>0</v>
      </c>
      <c r="Q731" s="1">
        <f t="shared" si="416"/>
        <v>0</v>
      </c>
      <c r="R731" s="1">
        <v>0</v>
      </c>
      <c r="S731" s="1">
        <f t="shared" si="417"/>
        <v>0</v>
      </c>
      <c r="T731" s="1">
        <v>0</v>
      </c>
      <c r="U731" s="1">
        <v>200000</v>
      </c>
      <c r="V731" s="1">
        <v>0</v>
      </c>
      <c r="W731" s="1">
        <v>0</v>
      </c>
      <c r="X731" s="1">
        <v>0</v>
      </c>
      <c r="Y731" s="1">
        <v>0</v>
      </c>
      <c r="Z731" s="1">
        <v>0</v>
      </c>
      <c r="AA731" s="1">
        <v>0</v>
      </c>
      <c r="AB731" s="1">
        <v>0</v>
      </c>
      <c r="AC731" s="1">
        <v>0</v>
      </c>
      <c r="AD731" s="1">
        <v>0</v>
      </c>
    </row>
    <row r="732" spans="1:30" s="20" customFormat="1" ht="36" customHeight="1" x14ac:dyDescent="0.25">
      <c r="A732" s="2">
        <f t="shared" si="396"/>
        <v>704</v>
      </c>
      <c r="B732" s="6">
        <f t="shared" si="413"/>
        <v>704</v>
      </c>
      <c r="C732" s="19" t="s">
        <v>2306</v>
      </c>
      <c r="D732" s="4">
        <f t="shared" si="392"/>
        <v>14200000</v>
      </c>
      <c r="E732" s="1">
        <f t="shared" si="414"/>
        <v>0</v>
      </c>
      <c r="F732" s="1">
        <v>0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2">
        <v>4</v>
      </c>
      <c r="M732" s="1">
        <f>L732*3500000</f>
        <v>14000000</v>
      </c>
      <c r="N732" s="1">
        <v>0</v>
      </c>
      <c r="O732" s="1">
        <v>0</v>
      </c>
      <c r="P732" s="1">
        <v>0</v>
      </c>
      <c r="Q732" s="1">
        <f t="shared" si="416"/>
        <v>0</v>
      </c>
      <c r="R732" s="1">
        <v>0</v>
      </c>
      <c r="S732" s="1">
        <f t="shared" si="417"/>
        <v>0</v>
      </c>
      <c r="T732" s="1">
        <v>0</v>
      </c>
      <c r="U732" s="1">
        <v>200000</v>
      </c>
      <c r="V732" s="1">
        <v>0</v>
      </c>
      <c r="W732" s="1">
        <v>0</v>
      </c>
      <c r="X732" s="1">
        <v>0</v>
      </c>
      <c r="Y732" s="1">
        <v>0</v>
      </c>
      <c r="Z732" s="1">
        <v>0</v>
      </c>
      <c r="AA732" s="1">
        <v>0</v>
      </c>
      <c r="AB732" s="1">
        <v>0</v>
      </c>
      <c r="AC732" s="1">
        <v>0</v>
      </c>
      <c r="AD732" s="1">
        <v>0</v>
      </c>
    </row>
    <row r="733" spans="1:30" s="20" customFormat="1" ht="36" customHeight="1" x14ac:dyDescent="0.25">
      <c r="A733" s="2">
        <f t="shared" si="396"/>
        <v>705</v>
      </c>
      <c r="B733" s="6">
        <f t="shared" si="405"/>
        <v>705</v>
      </c>
      <c r="C733" s="19" t="s">
        <v>1476</v>
      </c>
      <c r="D733" s="4">
        <f t="shared" si="392"/>
        <v>7200000</v>
      </c>
      <c r="E733" s="1">
        <f t="shared" si="379"/>
        <v>0</v>
      </c>
      <c r="F733" s="1">
        <v>0</v>
      </c>
      <c r="G733" s="1">
        <v>0</v>
      </c>
      <c r="H733" s="1">
        <v>0</v>
      </c>
      <c r="I733" s="1">
        <v>0</v>
      </c>
      <c r="J733" s="1">
        <v>0</v>
      </c>
      <c r="K733" s="1">
        <v>0</v>
      </c>
      <c r="L733" s="2">
        <v>2</v>
      </c>
      <c r="M733" s="1">
        <f t="shared" si="381"/>
        <v>7000000</v>
      </c>
      <c r="N733" s="1">
        <v>0</v>
      </c>
      <c r="O733" s="1">
        <v>0</v>
      </c>
      <c r="P733" s="1">
        <v>0</v>
      </c>
      <c r="Q733" s="1">
        <f t="shared" si="377"/>
        <v>0</v>
      </c>
      <c r="R733" s="1">
        <v>0</v>
      </c>
      <c r="S733" s="1">
        <f t="shared" si="378"/>
        <v>0</v>
      </c>
      <c r="T733" s="1">
        <v>0</v>
      </c>
      <c r="U733" s="1">
        <v>200000</v>
      </c>
      <c r="V733" s="1">
        <v>0</v>
      </c>
      <c r="W733" s="1">
        <v>0</v>
      </c>
      <c r="X733" s="1">
        <v>0</v>
      </c>
      <c r="Y733" s="1">
        <v>0</v>
      </c>
      <c r="Z733" s="1">
        <v>0</v>
      </c>
      <c r="AA733" s="1">
        <v>0</v>
      </c>
      <c r="AB733" s="1">
        <v>0</v>
      </c>
      <c r="AC733" s="1">
        <v>0</v>
      </c>
      <c r="AD733" s="1">
        <v>0</v>
      </c>
    </row>
    <row r="734" spans="1:30" s="20" customFormat="1" ht="36" customHeight="1" x14ac:dyDescent="0.25">
      <c r="A734" s="2">
        <f t="shared" si="396"/>
        <v>706</v>
      </c>
      <c r="B734" s="6">
        <f>A734</f>
        <v>706</v>
      </c>
      <c r="C734" s="19" t="s">
        <v>2307</v>
      </c>
      <c r="D734" s="4">
        <f t="shared" si="392"/>
        <v>14200000</v>
      </c>
      <c r="E734" s="1">
        <f>SUM(F734:K734)</f>
        <v>0</v>
      </c>
      <c r="F734" s="1">
        <v>0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2">
        <v>4</v>
      </c>
      <c r="M734" s="1">
        <f t="shared" ref="M734" si="420">L734*3500000</f>
        <v>14000000</v>
      </c>
      <c r="N734" s="1">
        <v>0</v>
      </c>
      <c r="O734" s="1">
        <v>0</v>
      </c>
      <c r="P734" s="1">
        <v>0</v>
      </c>
      <c r="Q734" s="1">
        <f>P734*1400</f>
        <v>0</v>
      </c>
      <c r="R734" s="1">
        <v>0</v>
      </c>
      <c r="S734" s="1">
        <f>R734*3751</f>
        <v>0</v>
      </c>
      <c r="T734" s="1">
        <v>0</v>
      </c>
      <c r="U734" s="1">
        <v>200000</v>
      </c>
      <c r="V734" s="1">
        <v>0</v>
      </c>
      <c r="W734" s="1">
        <v>0</v>
      </c>
      <c r="X734" s="1">
        <v>0</v>
      </c>
      <c r="Y734" s="1">
        <v>0</v>
      </c>
      <c r="Z734" s="1">
        <v>0</v>
      </c>
      <c r="AA734" s="1">
        <v>0</v>
      </c>
      <c r="AB734" s="1">
        <v>0</v>
      </c>
      <c r="AC734" s="1">
        <v>0</v>
      </c>
      <c r="AD734" s="1">
        <v>0</v>
      </c>
    </row>
    <row r="735" spans="1:30" s="20" customFormat="1" ht="36" customHeight="1" x14ac:dyDescent="0.25">
      <c r="A735" s="2">
        <f t="shared" si="396"/>
        <v>707</v>
      </c>
      <c r="B735" s="6">
        <f>A735</f>
        <v>707</v>
      </c>
      <c r="C735" s="19" t="s">
        <v>2308</v>
      </c>
      <c r="D735" s="4">
        <f t="shared" si="392"/>
        <v>17700000</v>
      </c>
      <c r="E735" s="1">
        <f>SUM(F735:K735)</f>
        <v>0</v>
      </c>
      <c r="F735" s="1">
        <v>0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2">
        <v>5</v>
      </c>
      <c r="M735" s="1">
        <f>L735*3500000</f>
        <v>17500000</v>
      </c>
      <c r="N735" s="1">
        <v>0</v>
      </c>
      <c r="O735" s="1">
        <v>0</v>
      </c>
      <c r="P735" s="1">
        <v>0</v>
      </c>
      <c r="Q735" s="1">
        <f>P735*1400</f>
        <v>0</v>
      </c>
      <c r="R735" s="1">
        <v>0</v>
      </c>
      <c r="S735" s="1">
        <f>R735*3751</f>
        <v>0</v>
      </c>
      <c r="T735" s="1">
        <v>0</v>
      </c>
      <c r="U735" s="1">
        <v>200000</v>
      </c>
      <c r="V735" s="1">
        <v>0</v>
      </c>
      <c r="W735" s="1">
        <v>0</v>
      </c>
      <c r="X735" s="1">
        <v>0</v>
      </c>
      <c r="Y735" s="1">
        <v>0</v>
      </c>
      <c r="Z735" s="1">
        <v>0</v>
      </c>
      <c r="AA735" s="1">
        <v>0</v>
      </c>
      <c r="AB735" s="1">
        <v>0</v>
      </c>
      <c r="AC735" s="1">
        <v>0</v>
      </c>
      <c r="AD735" s="1">
        <v>0</v>
      </c>
    </row>
    <row r="736" spans="1:30" s="20" customFormat="1" ht="36" customHeight="1" x14ac:dyDescent="0.25">
      <c r="A736" s="2">
        <f t="shared" si="396"/>
        <v>708</v>
      </c>
      <c r="B736" s="6">
        <f t="shared" si="405"/>
        <v>708</v>
      </c>
      <c r="C736" s="19" t="s">
        <v>452</v>
      </c>
      <c r="D736" s="4">
        <f t="shared" si="392"/>
        <v>22039968.619999997</v>
      </c>
      <c r="E736" s="1">
        <f t="shared" si="379"/>
        <v>12592693.619999999</v>
      </c>
      <c r="F736" s="1">
        <f>804*3754.53</f>
        <v>3018642.12</v>
      </c>
      <c r="G736" s="1">
        <f>1693*3754.53</f>
        <v>6356419.29</v>
      </c>
      <c r="H736" s="1">
        <f>390*3754.53</f>
        <v>1464266.7000000002</v>
      </c>
      <c r="I736" s="1">
        <v>0</v>
      </c>
      <c r="J736" s="1">
        <f>467*3754.53</f>
        <v>1753365.51</v>
      </c>
      <c r="K736" s="1">
        <v>0</v>
      </c>
      <c r="L736" s="2">
        <v>0</v>
      </c>
      <c r="M736" s="1">
        <f t="shared" si="381"/>
        <v>0</v>
      </c>
      <c r="N736" s="1">
        <v>1206.0999999999999</v>
      </c>
      <c r="O736" s="1">
        <f>N736*7750</f>
        <v>9347275</v>
      </c>
      <c r="P736" s="1">
        <v>0</v>
      </c>
      <c r="Q736" s="1">
        <f t="shared" si="377"/>
        <v>0</v>
      </c>
      <c r="R736" s="1">
        <v>0</v>
      </c>
      <c r="S736" s="1">
        <f t="shared" si="378"/>
        <v>0</v>
      </c>
      <c r="T736" s="1">
        <v>0</v>
      </c>
      <c r="U736" s="1">
        <v>50000</v>
      </c>
      <c r="V736" s="1">
        <v>0</v>
      </c>
      <c r="W736" s="1">
        <v>50000</v>
      </c>
      <c r="X736" s="1">
        <v>0</v>
      </c>
      <c r="Y736" s="1">
        <v>0</v>
      </c>
      <c r="Z736" s="1">
        <v>0</v>
      </c>
      <c r="AA736" s="1">
        <v>0</v>
      </c>
      <c r="AB736" s="1">
        <v>0</v>
      </c>
      <c r="AC736" s="1">
        <v>0</v>
      </c>
      <c r="AD736" s="1">
        <v>0</v>
      </c>
    </row>
    <row r="737" spans="1:30" s="20" customFormat="1" ht="36" customHeight="1" x14ac:dyDescent="0.25">
      <c r="A737" s="2">
        <f t="shared" si="396"/>
        <v>709</v>
      </c>
      <c r="B737" s="6">
        <f t="shared" si="405"/>
        <v>709</v>
      </c>
      <c r="C737" s="19" t="s">
        <v>453</v>
      </c>
      <c r="D737" s="4">
        <f t="shared" ref="D737:D800" si="421">E737+M737+O737+Q737+S737+T737+U737+V737+W737+X737+Z737+AA737+AB737+AC737+AD737</f>
        <v>10025641.24</v>
      </c>
      <c r="E737" s="1">
        <f t="shared" si="379"/>
        <v>5987091.2400000002</v>
      </c>
      <c r="F737" s="1">
        <f>804*1785.06</f>
        <v>1435188.24</v>
      </c>
      <c r="G737" s="1">
        <f>1693*1785.06</f>
        <v>3022106.58</v>
      </c>
      <c r="H737" s="1">
        <f>390*1785.06</f>
        <v>696173.4</v>
      </c>
      <c r="I737" s="1">
        <v>0</v>
      </c>
      <c r="J737" s="1">
        <f>467*1785.06</f>
        <v>833623.02</v>
      </c>
      <c r="K737" s="1">
        <v>0</v>
      </c>
      <c r="L737" s="2">
        <v>0</v>
      </c>
      <c r="M737" s="1">
        <f t="shared" si="381"/>
        <v>0</v>
      </c>
      <c r="N737" s="1">
        <v>0</v>
      </c>
      <c r="O737" s="1">
        <v>0</v>
      </c>
      <c r="P737" s="1">
        <v>0</v>
      </c>
      <c r="Q737" s="1">
        <f t="shared" si="377"/>
        <v>0</v>
      </c>
      <c r="R737" s="1">
        <v>1050</v>
      </c>
      <c r="S737" s="1">
        <f t="shared" si="378"/>
        <v>3938550</v>
      </c>
      <c r="T737" s="1">
        <v>0</v>
      </c>
      <c r="U737" s="1">
        <v>50000</v>
      </c>
      <c r="V737" s="1">
        <v>0</v>
      </c>
      <c r="W737" s="1">
        <v>50000</v>
      </c>
      <c r="X737" s="1">
        <v>0</v>
      </c>
      <c r="Y737" s="1">
        <v>0</v>
      </c>
      <c r="Z737" s="1">
        <v>0</v>
      </c>
      <c r="AA737" s="1">
        <v>0</v>
      </c>
      <c r="AB737" s="1">
        <v>0</v>
      </c>
      <c r="AC737" s="1">
        <v>0</v>
      </c>
      <c r="AD737" s="1">
        <v>0</v>
      </c>
    </row>
    <row r="738" spans="1:30" s="20" customFormat="1" ht="36" customHeight="1" x14ac:dyDescent="0.25">
      <c r="A738" s="2">
        <f t="shared" si="396"/>
        <v>710</v>
      </c>
      <c r="B738" s="6">
        <f t="shared" ref="B738:B741" si="422">A738</f>
        <v>710</v>
      </c>
      <c r="C738" s="19" t="s">
        <v>2323</v>
      </c>
      <c r="D738" s="4">
        <f t="shared" si="421"/>
        <v>21200000</v>
      </c>
      <c r="E738" s="1">
        <f t="shared" ref="E738:E741" si="423">SUM(F738:K738)</f>
        <v>0</v>
      </c>
      <c r="F738" s="1">
        <v>0</v>
      </c>
      <c r="G738" s="1">
        <v>0</v>
      </c>
      <c r="H738" s="1">
        <v>0</v>
      </c>
      <c r="I738" s="1">
        <v>0</v>
      </c>
      <c r="J738" s="1">
        <v>0</v>
      </c>
      <c r="K738" s="1">
        <v>0</v>
      </c>
      <c r="L738" s="2">
        <v>6</v>
      </c>
      <c r="M738" s="1">
        <f t="shared" ref="M738:M741" si="424">L738*3500000</f>
        <v>21000000</v>
      </c>
      <c r="N738" s="1">
        <v>0</v>
      </c>
      <c r="O738" s="1">
        <v>0</v>
      </c>
      <c r="P738" s="1">
        <v>0</v>
      </c>
      <c r="Q738" s="1">
        <f t="shared" ref="Q738:Q741" si="425">P738*1400</f>
        <v>0</v>
      </c>
      <c r="R738" s="1">
        <v>0</v>
      </c>
      <c r="S738" s="1">
        <f t="shared" ref="S738:S741" si="426">R738*3751</f>
        <v>0</v>
      </c>
      <c r="T738" s="1">
        <v>0</v>
      </c>
      <c r="U738" s="1">
        <v>200000</v>
      </c>
      <c r="V738" s="1">
        <v>0</v>
      </c>
      <c r="W738" s="1">
        <v>0</v>
      </c>
      <c r="X738" s="1">
        <v>0</v>
      </c>
      <c r="Y738" s="1">
        <v>0</v>
      </c>
      <c r="Z738" s="1">
        <v>0</v>
      </c>
      <c r="AA738" s="1">
        <v>0</v>
      </c>
      <c r="AB738" s="1">
        <v>0</v>
      </c>
      <c r="AC738" s="1">
        <v>0</v>
      </c>
      <c r="AD738" s="1">
        <v>0</v>
      </c>
    </row>
    <row r="739" spans="1:30" s="20" customFormat="1" ht="36" customHeight="1" x14ac:dyDescent="0.25">
      <c r="A739" s="2">
        <f t="shared" si="396"/>
        <v>711</v>
      </c>
      <c r="B739" s="6">
        <f t="shared" si="422"/>
        <v>711</v>
      </c>
      <c r="C739" s="19" t="s">
        <v>2324</v>
      </c>
      <c r="D739" s="4">
        <f t="shared" si="421"/>
        <v>3700000</v>
      </c>
      <c r="E739" s="1">
        <f t="shared" si="423"/>
        <v>0</v>
      </c>
      <c r="F739" s="1">
        <v>0</v>
      </c>
      <c r="G739" s="1">
        <v>0</v>
      </c>
      <c r="H739" s="1">
        <v>0</v>
      </c>
      <c r="I739" s="1">
        <v>0</v>
      </c>
      <c r="J739" s="1">
        <v>0</v>
      </c>
      <c r="K739" s="1">
        <v>0</v>
      </c>
      <c r="L739" s="2">
        <v>1</v>
      </c>
      <c r="M739" s="1">
        <f t="shared" si="424"/>
        <v>3500000</v>
      </c>
      <c r="N739" s="1">
        <v>0</v>
      </c>
      <c r="O739" s="1">
        <v>0</v>
      </c>
      <c r="P739" s="1">
        <v>0</v>
      </c>
      <c r="Q739" s="1">
        <f t="shared" si="425"/>
        <v>0</v>
      </c>
      <c r="R739" s="1">
        <v>0</v>
      </c>
      <c r="S739" s="1">
        <f t="shared" si="426"/>
        <v>0</v>
      </c>
      <c r="T739" s="1">
        <v>0</v>
      </c>
      <c r="U739" s="1">
        <v>200000</v>
      </c>
      <c r="V739" s="1">
        <v>0</v>
      </c>
      <c r="W739" s="1">
        <v>0</v>
      </c>
      <c r="X739" s="1">
        <v>0</v>
      </c>
      <c r="Y739" s="1">
        <v>0</v>
      </c>
      <c r="Z739" s="1">
        <v>0</v>
      </c>
      <c r="AA739" s="1">
        <v>0</v>
      </c>
      <c r="AB739" s="1">
        <v>0</v>
      </c>
      <c r="AC739" s="1">
        <v>0</v>
      </c>
      <c r="AD739" s="1">
        <v>0</v>
      </c>
    </row>
    <row r="740" spans="1:30" s="20" customFormat="1" ht="36" customHeight="1" x14ac:dyDescent="0.25">
      <c r="A740" s="2">
        <f t="shared" si="396"/>
        <v>712</v>
      </c>
      <c r="B740" s="6">
        <f t="shared" si="422"/>
        <v>712</v>
      </c>
      <c r="C740" s="19" t="s">
        <v>2325</v>
      </c>
      <c r="D740" s="4">
        <f t="shared" si="421"/>
        <v>3700000</v>
      </c>
      <c r="E740" s="1">
        <f t="shared" si="423"/>
        <v>0</v>
      </c>
      <c r="F740" s="1">
        <v>0</v>
      </c>
      <c r="G740" s="1">
        <v>0</v>
      </c>
      <c r="H740" s="1">
        <v>0</v>
      </c>
      <c r="I740" s="1">
        <v>0</v>
      </c>
      <c r="J740" s="1">
        <v>0</v>
      </c>
      <c r="K740" s="1">
        <v>0</v>
      </c>
      <c r="L740" s="2">
        <v>1</v>
      </c>
      <c r="M740" s="1">
        <f t="shared" si="424"/>
        <v>3500000</v>
      </c>
      <c r="N740" s="1">
        <v>0</v>
      </c>
      <c r="O740" s="1">
        <v>0</v>
      </c>
      <c r="P740" s="1">
        <v>0</v>
      </c>
      <c r="Q740" s="1">
        <f t="shared" si="425"/>
        <v>0</v>
      </c>
      <c r="R740" s="1">
        <v>0</v>
      </c>
      <c r="S740" s="1">
        <f t="shared" si="426"/>
        <v>0</v>
      </c>
      <c r="T740" s="1">
        <v>0</v>
      </c>
      <c r="U740" s="1">
        <v>200000</v>
      </c>
      <c r="V740" s="1">
        <v>0</v>
      </c>
      <c r="W740" s="1">
        <v>0</v>
      </c>
      <c r="X740" s="1">
        <v>0</v>
      </c>
      <c r="Y740" s="1">
        <v>0</v>
      </c>
      <c r="Z740" s="1">
        <v>0</v>
      </c>
      <c r="AA740" s="1">
        <v>0</v>
      </c>
      <c r="AB740" s="1">
        <v>0</v>
      </c>
      <c r="AC740" s="1">
        <v>0</v>
      </c>
      <c r="AD740" s="1">
        <v>0</v>
      </c>
    </row>
    <row r="741" spans="1:30" s="20" customFormat="1" ht="36" customHeight="1" x14ac:dyDescent="0.25">
      <c r="A741" s="2">
        <f t="shared" si="396"/>
        <v>713</v>
      </c>
      <c r="B741" s="6">
        <f t="shared" si="422"/>
        <v>713</v>
      </c>
      <c r="C741" s="19" t="s">
        <v>2326</v>
      </c>
      <c r="D741" s="4">
        <f t="shared" si="421"/>
        <v>10700000</v>
      </c>
      <c r="E741" s="1">
        <f t="shared" si="423"/>
        <v>0</v>
      </c>
      <c r="F741" s="1">
        <v>0</v>
      </c>
      <c r="G741" s="1">
        <v>0</v>
      </c>
      <c r="H741" s="1">
        <v>0</v>
      </c>
      <c r="I741" s="1">
        <v>0</v>
      </c>
      <c r="J741" s="1">
        <v>0</v>
      </c>
      <c r="K741" s="1">
        <v>0</v>
      </c>
      <c r="L741" s="2">
        <v>3</v>
      </c>
      <c r="M741" s="1">
        <f t="shared" si="424"/>
        <v>10500000</v>
      </c>
      <c r="N741" s="1">
        <v>0</v>
      </c>
      <c r="O741" s="1">
        <v>0</v>
      </c>
      <c r="P741" s="1">
        <v>0</v>
      </c>
      <c r="Q741" s="1">
        <f t="shared" si="425"/>
        <v>0</v>
      </c>
      <c r="R741" s="1">
        <v>0</v>
      </c>
      <c r="S741" s="1">
        <f t="shared" si="426"/>
        <v>0</v>
      </c>
      <c r="T741" s="1">
        <v>0</v>
      </c>
      <c r="U741" s="1">
        <v>200000</v>
      </c>
      <c r="V741" s="1">
        <v>0</v>
      </c>
      <c r="W741" s="1">
        <v>0</v>
      </c>
      <c r="X741" s="1">
        <v>0</v>
      </c>
      <c r="Y741" s="1">
        <v>0</v>
      </c>
      <c r="Z741" s="1">
        <v>0</v>
      </c>
      <c r="AA741" s="1">
        <v>0</v>
      </c>
      <c r="AB741" s="1">
        <v>0</v>
      </c>
      <c r="AC741" s="1">
        <v>0</v>
      </c>
      <c r="AD741" s="1">
        <v>0</v>
      </c>
    </row>
    <row r="742" spans="1:30" s="20" customFormat="1" ht="36" customHeight="1" x14ac:dyDescent="0.25">
      <c r="A742" s="2">
        <f t="shared" si="396"/>
        <v>714</v>
      </c>
      <c r="B742" s="6">
        <f t="shared" si="405"/>
        <v>714</v>
      </c>
      <c r="C742" s="19" t="s">
        <v>2465</v>
      </c>
      <c r="D742" s="4">
        <f t="shared" si="421"/>
        <v>8674862.5</v>
      </c>
      <c r="E742" s="1">
        <f t="shared" si="379"/>
        <v>4978862.5</v>
      </c>
      <c r="F742" s="1">
        <f>804*1268.5</f>
        <v>1019874</v>
      </c>
      <c r="G742" s="1">
        <f>1693*1268.5</f>
        <v>2147570.5</v>
      </c>
      <c r="H742" s="1">
        <f>390*1268.5</f>
        <v>494715</v>
      </c>
      <c r="I742" s="1">
        <f>571*1268.5</f>
        <v>724313.5</v>
      </c>
      <c r="J742" s="1">
        <f>467*1268.5</f>
        <v>592389.5</v>
      </c>
      <c r="K742" s="1">
        <v>0</v>
      </c>
      <c r="L742" s="2">
        <v>0</v>
      </c>
      <c r="M742" s="1">
        <f t="shared" si="381"/>
        <v>0</v>
      </c>
      <c r="N742" s="1">
        <v>464</v>
      </c>
      <c r="O742" s="1">
        <f>N742*7750</f>
        <v>3596000</v>
      </c>
      <c r="P742" s="1">
        <v>0</v>
      </c>
      <c r="Q742" s="1">
        <f t="shared" si="377"/>
        <v>0</v>
      </c>
      <c r="R742" s="1">
        <v>0</v>
      </c>
      <c r="S742" s="1">
        <f t="shared" si="378"/>
        <v>0</v>
      </c>
      <c r="T742" s="1">
        <v>0</v>
      </c>
      <c r="U742" s="1">
        <v>50000</v>
      </c>
      <c r="V742" s="1">
        <v>0</v>
      </c>
      <c r="W742" s="1">
        <v>50000</v>
      </c>
      <c r="X742" s="1">
        <v>0</v>
      </c>
      <c r="Y742" s="1">
        <v>0</v>
      </c>
      <c r="Z742" s="1">
        <v>0</v>
      </c>
      <c r="AA742" s="1">
        <v>0</v>
      </c>
      <c r="AB742" s="1">
        <v>0</v>
      </c>
      <c r="AC742" s="1">
        <v>0</v>
      </c>
      <c r="AD742" s="1">
        <v>0</v>
      </c>
    </row>
    <row r="743" spans="1:30" s="20" customFormat="1" ht="36" customHeight="1" x14ac:dyDescent="0.25">
      <c r="A743" s="2">
        <f t="shared" si="396"/>
        <v>715</v>
      </c>
      <c r="B743" s="6">
        <f t="shared" si="405"/>
        <v>715</v>
      </c>
      <c r="C743" s="19" t="s">
        <v>454</v>
      </c>
      <c r="D743" s="4">
        <f t="shared" si="421"/>
        <v>2270650</v>
      </c>
      <c r="E743" s="1">
        <f t="shared" si="379"/>
        <v>982820.00000000012</v>
      </c>
      <c r="F743" s="1">
        <f>804*250.4</f>
        <v>201321.60000000001</v>
      </c>
      <c r="G743" s="1">
        <f>1693*250.4</f>
        <v>423927.2</v>
      </c>
      <c r="H743" s="1">
        <f>390*250.4</f>
        <v>97656</v>
      </c>
      <c r="I743" s="1">
        <f>571*250.4</f>
        <v>142978.4</v>
      </c>
      <c r="J743" s="1">
        <f>467*250.4</f>
        <v>116936.8</v>
      </c>
      <c r="K743" s="1">
        <v>0</v>
      </c>
      <c r="L743" s="2">
        <v>0</v>
      </c>
      <c r="M743" s="1">
        <f t="shared" si="381"/>
        <v>0</v>
      </c>
      <c r="N743" s="1">
        <v>0</v>
      </c>
      <c r="O743" s="1">
        <v>0</v>
      </c>
      <c r="P743" s="1">
        <v>0</v>
      </c>
      <c r="Q743" s="1">
        <f t="shared" si="377"/>
        <v>0</v>
      </c>
      <c r="R743" s="1">
        <v>330</v>
      </c>
      <c r="S743" s="1">
        <f t="shared" si="378"/>
        <v>1237830</v>
      </c>
      <c r="T743" s="1">
        <v>0</v>
      </c>
      <c r="U743" s="1">
        <v>0</v>
      </c>
      <c r="V743" s="1">
        <v>0</v>
      </c>
      <c r="W743" s="1">
        <v>50000</v>
      </c>
      <c r="X743" s="1">
        <v>0</v>
      </c>
      <c r="Y743" s="1">
        <v>0</v>
      </c>
      <c r="Z743" s="1">
        <v>0</v>
      </c>
      <c r="AA743" s="1">
        <v>0</v>
      </c>
      <c r="AB743" s="1">
        <v>0</v>
      </c>
      <c r="AC743" s="1">
        <v>0</v>
      </c>
      <c r="AD743" s="1">
        <v>0</v>
      </c>
    </row>
    <row r="744" spans="1:30" s="20" customFormat="1" ht="36" customHeight="1" x14ac:dyDescent="0.25">
      <c r="A744" s="2">
        <f t="shared" si="396"/>
        <v>716</v>
      </c>
      <c r="B744" s="6">
        <f t="shared" si="405"/>
        <v>716</v>
      </c>
      <c r="C744" s="30" t="s">
        <v>455</v>
      </c>
      <c r="D744" s="4">
        <f t="shared" si="421"/>
        <v>3373727.5</v>
      </c>
      <c r="E744" s="1">
        <f t="shared" si="379"/>
        <v>2035897.5</v>
      </c>
      <c r="F744" s="1">
        <f>804*518.7</f>
        <v>417034.80000000005</v>
      </c>
      <c r="G744" s="1">
        <f>1693*518.7</f>
        <v>878159.10000000009</v>
      </c>
      <c r="H744" s="1">
        <f>390*518.7</f>
        <v>202293.00000000003</v>
      </c>
      <c r="I744" s="1">
        <f>571*518.7</f>
        <v>296177.7</v>
      </c>
      <c r="J744" s="1">
        <f>467*518.7</f>
        <v>242232.90000000002</v>
      </c>
      <c r="K744" s="1">
        <v>0</v>
      </c>
      <c r="L744" s="2">
        <v>0</v>
      </c>
      <c r="M744" s="1">
        <f t="shared" si="381"/>
        <v>0</v>
      </c>
      <c r="N744" s="1">
        <v>0</v>
      </c>
      <c r="O744" s="1">
        <v>0</v>
      </c>
      <c r="P744" s="1">
        <v>0</v>
      </c>
      <c r="Q744" s="1">
        <f t="shared" si="377"/>
        <v>0</v>
      </c>
      <c r="R744" s="1">
        <v>330</v>
      </c>
      <c r="S744" s="1">
        <f t="shared" si="378"/>
        <v>1237830</v>
      </c>
      <c r="T744" s="1">
        <v>0</v>
      </c>
      <c r="U744" s="1">
        <v>50000</v>
      </c>
      <c r="V744" s="1">
        <v>0</v>
      </c>
      <c r="W744" s="1">
        <v>50000</v>
      </c>
      <c r="X744" s="1">
        <v>0</v>
      </c>
      <c r="Y744" s="1">
        <v>0</v>
      </c>
      <c r="Z744" s="1">
        <v>0</v>
      </c>
      <c r="AA744" s="1">
        <v>0</v>
      </c>
      <c r="AB744" s="1">
        <v>0</v>
      </c>
      <c r="AC744" s="1">
        <v>0</v>
      </c>
      <c r="AD744" s="1">
        <v>0</v>
      </c>
    </row>
    <row r="745" spans="1:30" s="20" customFormat="1" ht="36" customHeight="1" x14ac:dyDescent="0.25">
      <c r="A745" s="2">
        <f t="shared" si="396"/>
        <v>717</v>
      </c>
      <c r="B745" s="6">
        <f>A745</f>
        <v>717</v>
      </c>
      <c r="C745" s="19" t="s">
        <v>2315</v>
      </c>
      <c r="D745" s="4">
        <f t="shared" si="421"/>
        <v>35200000</v>
      </c>
      <c r="E745" s="1">
        <f>SUM(F745:K745)</f>
        <v>0</v>
      </c>
      <c r="F745" s="1">
        <v>0</v>
      </c>
      <c r="G745" s="1">
        <v>0</v>
      </c>
      <c r="H745" s="1">
        <v>0</v>
      </c>
      <c r="I745" s="1">
        <v>0</v>
      </c>
      <c r="J745" s="1">
        <v>0</v>
      </c>
      <c r="K745" s="1">
        <v>0</v>
      </c>
      <c r="L745" s="2">
        <v>10</v>
      </c>
      <c r="M745" s="1">
        <f>L745*3500000</f>
        <v>35000000</v>
      </c>
      <c r="N745" s="1">
        <v>0</v>
      </c>
      <c r="O745" s="1">
        <v>0</v>
      </c>
      <c r="P745" s="1">
        <v>0</v>
      </c>
      <c r="Q745" s="1">
        <f>P745*1400</f>
        <v>0</v>
      </c>
      <c r="R745" s="1">
        <v>0</v>
      </c>
      <c r="S745" s="1">
        <f>R745*3751</f>
        <v>0</v>
      </c>
      <c r="T745" s="1">
        <v>0</v>
      </c>
      <c r="U745" s="1">
        <v>200000</v>
      </c>
      <c r="V745" s="1">
        <v>0</v>
      </c>
      <c r="W745" s="1">
        <v>0</v>
      </c>
      <c r="X745" s="1">
        <v>0</v>
      </c>
      <c r="Y745" s="1">
        <v>0</v>
      </c>
      <c r="Z745" s="1">
        <v>0</v>
      </c>
      <c r="AA745" s="1">
        <v>0</v>
      </c>
      <c r="AB745" s="1">
        <v>0</v>
      </c>
      <c r="AC745" s="1">
        <v>0</v>
      </c>
      <c r="AD745" s="1">
        <v>0</v>
      </c>
    </row>
    <row r="746" spans="1:30" s="20" customFormat="1" ht="36" customHeight="1" x14ac:dyDescent="0.25">
      <c r="A746" s="2">
        <f t="shared" si="396"/>
        <v>718</v>
      </c>
      <c r="B746" s="6">
        <f>A746</f>
        <v>718</v>
      </c>
      <c r="C746" s="19" t="s">
        <v>2466</v>
      </c>
      <c r="D746" s="4">
        <f t="shared" si="421"/>
        <v>7200000</v>
      </c>
      <c r="E746" s="1">
        <f>SUM(F746:K746)</f>
        <v>0</v>
      </c>
      <c r="F746" s="1">
        <v>0</v>
      </c>
      <c r="G746" s="1">
        <v>0</v>
      </c>
      <c r="H746" s="1">
        <v>0</v>
      </c>
      <c r="I746" s="1">
        <v>0</v>
      </c>
      <c r="J746" s="1">
        <v>0</v>
      </c>
      <c r="K746" s="1">
        <v>0</v>
      </c>
      <c r="L746" s="2">
        <v>2</v>
      </c>
      <c r="M746" s="1">
        <f>L746*3500000</f>
        <v>7000000</v>
      </c>
      <c r="N746" s="1">
        <v>0</v>
      </c>
      <c r="O746" s="1">
        <v>0</v>
      </c>
      <c r="P746" s="1">
        <v>0</v>
      </c>
      <c r="Q746" s="1">
        <f>P746*1400</f>
        <v>0</v>
      </c>
      <c r="R746" s="1">
        <v>0</v>
      </c>
      <c r="S746" s="1">
        <f>R746*3751</f>
        <v>0</v>
      </c>
      <c r="T746" s="1">
        <v>0</v>
      </c>
      <c r="U746" s="1">
        <v>200000</v>
      </c>
      <c r="V746" s="1">
        <v>0</v>
      </c>
      <c r="W746" s="1">
        <v>0</v>
      </c>
      <c r="X746" s="1">
        <v>0</v>
      </c>
      <c r="Y746" s="1">
        <v>0</v>
      </c>
      <c r="Z746" s="1">
        <v>0</v>
      </c>
      <c r="AA746" s="1">
        <v>0</v>
      </c>
      <c r="AB746" s="1">
        <v>0</v>
      </c>
      <c r="AC746" s="1">
        <v>0</v>
      </c>
      <c r="AD746" s="1">
        <v>0</v>
      </c>
    </row>
    <row r="747" spans="1:30" s="20" customFormat="1" ht="36" customHeight="1" x14ac:dyDescent="0.25">
      <c r="A747" s="2">
        <f t="shared" si="396"/>
        <v>719</v>
      </c>
      <c r="B747" s="6">
        <f>A747</f>
        <v>719</v>
      </c>
      <c r="C747" s="19" t="s">
        <v>2467</v>
      </c>
      <c r="D747" s="4">
        <f t="shared" si="421"/>
        <v>7200000</v>
      </c>
      <c r="E747" s="1">
        <f>SUM(F747:K747)</f>
        <v>0</v>
      </c>
      <c r="F747" s="1">
        <v>0</v>
      </c>
      <c r="G747" s="1">
        <v>0</v>
      </c>
      <c r="H747" s="1">
        <v>0</v>
      </c>
      <c r="I747" s="1">
        <v>0</v>
      </c>
      <c r="J747" s="1">
        <v>0</v>
      </c>
      <c r="K747" s="1">
        <v>0</v>
      </c>
      <c r="L747" s="2">
        <v>2</v>
      </c>
      <c r="M747" s="1">
        <f>L747*3500000</f>
        <v>7000000</v>
      </c>
      <c r="N747" s="1">
        <v>0</v>
      </c>
      <c r="O747" s="1">
        <v>0</v>
      </c>
      <c r="P747" s="1">
        <v>0</v>
      </c>
      <c r="Q747" s="1">
        <f>P747*1400</f>
        <v>0</v>
      </c>
      <c r="R747" s="1">
        <v>0</v>
      </c>
      <c r="S747" s="1">
        <f>R747*3751</f>
        <v>0</v>
      </c>
      <c r="T747" s="1">
        <v>0</v>
      </c>
      <c r="U747" s="1">
        <v>200000</v>
      </c>
      <c r="V747" s="1">
        <v>0</v>
      </c>
      <c r="W747" s="1">
        <v>0</v>
      </c>
      <c r="X747" s="1">
        <v>0</v>
      </c>
      <c r="Y747" s="1">
        <v>0</v>
      </c>
      <c r="Z747" s="1">
        <v>0</v>
      </c>
      <c r="AA747" s="1">
        <v>0</v>
      </c>
      <c r="AB747" s="1">
        <v>0</v>
      </c>
      <c r="AC747" s="1">
        <v>0</v>
      </c>
      <c r="AD747" s="1">
        <v>0</v>
      </c>
    </row>
    <row r="748" spans="1:30" s="20" customFormat="1" ht="36" customHeight="1" x14ac:dyDescent="0.25">
      <c r="A748" s="2">
        <f t="shared" si="396"/>
        <v>720</v>
      </c>
      <c r="B748" s="6">
        <f>A748</f>
        <v>720</v>
      </c>
      <c r="C748" s="19" t="s">
        <v>2468</v>
      </c>
      <c r="D748" s="4">
        <f t="shared" si="421"/>
        <v>7200000</v>
      </c>
      <c r="E748" s="1">
        <f>SUM(F748:K748)</f>
        <v>0</v>
      </c>
      <c r="F748" s="1">
        <v>0</v>
      </c>
      <c r="G748" s="1">
        <v>0</v>
      </c>
      <c r="H748" s="1">
        <v>0</v>
      </c>
      <c r="I748" s="1">
        <v>0</v>
      </c>
      <c r="J748" s="1">
        <v>0</v>
      </c>
      <c r="K748" s="1">
        <v>0</v>
      </c>
      <c r="L748" s="2">
        <v>2</v>
      </c>
      <c r="M748" s="1">
        <f>L748*3500000</f>
        <v>7000000</v>
      </c>
      <c r="N748" s="1">
        <v>0</v>
      </c>
      <c r="O748" s="1">
        <v>0</v>
      </c>
      <c r="P748" s="1">
        <v>0</v>
      </c>
      <c r="Q748" s="1">
        <f>P748*1400</f>
        <v>0</v>
      </c>
      <c r="R748" s="1">
        <v>0</v>
      </c>
      <c r="S748" s="1">
        <f>R748*3751</f>
        <v>0</v>
      </c>
      <c r="T748" s="1">
        <v>0</v>
      </c>
      <c r="U748" s="1">
        <v>200000</v>
      </c>
      <c r="V748" s="1">
        <v>0</v>
      </c>
      <c r="W748" s="1">
        <v>0</v>
      </c>
      <c r="X748" s="1">
        <v>0</v>
      </c>
      <c r="Y748" s="1">
        <v>0</v>
      </c>
      <c r="Z748" s="1">
        <v>0</v>
      </c>
      <c r="AA748" s="1">
        <v>0</v>
      </c>
      <c r="AB748" s="1">
        <v>0</v>
      </c>
      <c r="AC748" s="1">
        <v>0</v>
      </c>
      <c r="AD748" s="1">
        <v>0</v>
      </c>
    </row>
    <row r="749" spans="1:30" s="20" customFormat="1" ht="36" customHeight="1" x14ac:dyDescent="0.25">
      <c r="A749" s="2">
        <f t="shared" si="396"/>
        <v>721</v>
      </c>
      <c r="B749" s="6">
        <f>A749</f>
        <v>721</v>
      </c>
      <c r="C749" s="19" t="s">
        <v>2469</v>
      </c>
      <c r="D749" s="4">
        <f t="shared" si="421"/>
        <v>7200000</v>
      </c>
      <c r="E749" s="1">
        <f>SUM(F749:K749)</f>
        <v>0</v>
      </c>
      <c r="F749" s="1">
        <v>0</v>
      </c>
      <c r="G749" s="1">
        <v>0</v>
      </c>
      <c r="H749" s="1">
        <v>0</v>
      </c>
      <c r="I749" s="1">
        <v>0</v>
      </c>
      <c r="J749" s="1">
        <v>0</v>
      </c>
      <c r="K749" s="1">
        <v>0</v>
      </c>
      <c r="L749" s="2">
        <v>2</v>
      </c>
      <c r="M749" s="1">
        <f>L749*3500000</f>
        <v>7000000</v>
      </c>
      <c r="N749" s="1">
        <v>0</v>
      </c>
      <c r="O749" s="1">
        <v>0</v>
      </c>
      <c r="P749" s="1">
        <v>0</v>
      </c>
      <c r="Q749" s="1">
        <f>P749*1400</f>
        <v>0</v>
      </c>
      <c r="R749" s="1">
        <v>0</v>
      </c>
      <c r="S749" s="1">
        <f>R749*3751</f>
        <v>0</v>
      </c>
      <c r="T749" s="1">
        <v>0</v>
      </c>
      <c r="U749" s="1">
        <v>200000</v>
      </c>
      <c r="V749" s="1">
        <v>0</v>
      </c>
      <c r="W749" s="1">
        <v>0</v>
      </c>
      <c r="X749" s="1">
        <v>0</v>
      </c>
      <c r="Y749" s="1">
        <v>0</v>
      </c>
      <c r="Z749" s="1">
        <v>0</v>
      </c>
      <c r="AA749" s="1">
        <v>0</v>
      </c>
      <c r="AB749" s="1">
        <v>0</v>
      </c>
      <c r="AC749" s="1">
        <v>0</v>
      </c>
      <c r="AD749" s="1">
        <v>0</v>
      </c>
    </row>
    <row r="750" spans="1:30" s="20" customFormat="1" ht="36" customHeight="1" x14ac:dyDescent="0.25">
      <c r="A750" s="2">
        <f t="shared" si="396"/>
        <v>722</v>
      </c>
      <c r="B750" s="3">
        <f t="shared" ref="B750:B752" si="427">A750</f>
        <v>722</v>
      </c>
      <c r="C750" s="19" t="s">
        <v>2160</v>
      </c>
      <c r="D750" s="4">
        <f t="shared" si="421"/>
        <v>11302190</v>
      </c>
      <c r="E750" s="1">
        <f t="shared" si="379"/>
        <v>11252190</v>
      </c>
      <c r="F750" s="1">
        <f>804*2866.8</f>
        <v>2304907.2000000002</v>
      </c>
      <c r="G750" s="1">
        <f>1693*2866.8</f>
        <v>4853492.4000000004</v>
      </c>
      <c r="H750" s="1">
        <f>390*2866.8</f>
        <v>1118052</v>
      </c>
      <c r="I750" s="1">
        <f>571*2866.8</f>
        <v>1636942.8</v>
      </c>
      <c r="J750" s="1">
        <f>467*2866.8</f>
        <v>1338795.6000000001</v>
      </c>
      <c r="K750" s="1">
        <v>0</v>
      </c>
      <c r="L750" s="2">
        <v>0</v>
      </c>
      <c r="M750" s="1">
        <v>0</v>
      </c>
      <c r="N750" s="1">
        <v>0</v>
      </c>
      <c r="O750" s="1">
        <f>N750*4968</f>
        <v>0</v>
      </c>
      <c r="P750" s="1">
        <v>0</v>
      </c>
      <c r="Q750" s="1">
        <f t="shared" si="377"/>
        <v>0</v>
      </c>
      <c r="R750" s="1">
        <v>0</v>
      </c>
      <c r="S750" s="1">
        <f t="shared" si="378"/>
        <v>0</v>
      </c>
      <c r="T750" s="1">
        <v>0</v>
      </c>
      <c r="U750" s="1">
        <v>50000</v>
      </c>
      <c r="V750" s="1">
        <v>0</v>
      </c>
      <c r="W750" s="1">
        <v>0</v>
      </c>
      <c r="X750" s="1">
        <v>0</v>
      </c>
      <c r="Y750" s="1">
        <v>0</v>
      </c>
      <c r="Z750" s="1">
        <v>0</v>
      </c>
      <c r="AA750" s="1">
        <v>0</v>
      </c>
      <c r="AB750" s="1">
        <v>0</v>
      </c>
      <c r="AC750" s="1">
        <v>0</v>
      </c>
      <c r="AD750" s="1">
        <v>0</v>
      </c>
    </row>
    <row r="751" spans="1:30" s="20" customFormat="1" ht="36" customHeight="1" x14ac:dyDescent="0.25">
      <c r="A751" s="2">
        <f t="shared" si="396"/>
        <v>723</v>
      </c>
      <c r="B751" s="6">
        <f>A751</f>
        <v>723</v>
      </c>
      <c r="C751" s="19" t="s">
        <v>2470</v>
      </c>
      <c r="D751" s="4">
        <f t="shared" si="421"/>
        <v>7200000</v>
      </c>
      <c r="E751" s="1">
        <f>SUM(F751:K751)</f>
        <v>0</v>
      </c>
      <c r="F751" s="1">
        <v>0</v>
      </c>
      <c r="G751" s="1">
        <v>0</v>
      </c>
      <c r="H751" s="1">
        <v>0</v>
      </c>
      <c r="I751" s="1">
        <v>0</v>
      </c>
      <c r="J751" s="1">
        <v>0</v>
      </c>
      <c r="K751" s="1">
        <v>0</v>
      </c>
      <c r="L751" s="2">
        <v>2</v>
      </c>
      <c r="M751" s="1">
        <f>L751*3500000</f>
        <v>7000000</v>
      </c>
      <c r="N751" s="1">
        <v>0</v>
      </c>
      <c r="O751" s="1">
        <v>0</v>
      </c>
      <c r="P751" s="1">
        <v>0</v>
      </c>
      <c r="Q751" s="1">
        <f>P751*1400</f>
        <v>0</v>
      </c>
      <c r="R751" s="1">
        <v>0</v>
      </c>
      <c r="S751" s="1">
        <f>R751*3751</f>
        <v>0</v>
      </c>
      <c r="T751" s="1">
        <v>0</v>
      </c>
      <c r="U751" s="1">
        <v>200000</v>
      </c>
      <c r="V751" s="1">
        <v>0</v>
      </c>
      <c r="W751" s="1">
        <v>0</v>
      </c>
      <c r="X751" s="1">
        <v>0</v>
      </c>
      <c r="Y751" s="1">
        <v>0</v>
      </c>
      <c r="Z751" s="1">
        <v>0</v>
      </c>
      <c r="AA751" s="1">
        <v>0</v>
      </c>
      <c r="AB751" s="1">
        <v>0</v>
      </c>
      <c r="AC751" s="1">
        <v>0</v>
      </c>
      <c r="AD751" s="1">
        <v>0</v>
      </c>
    </row>
    <row r="752" spans="1:30" s="20" customFormat="1" ht="36" customHeight="1" x14ac:dyDescent="0.25">
      <c r="A752" s="2">
        <f t="shared" si="396"/>
        <v>724</v>
      </c>
      <c r="B752" s="3">
        <f t="shared" si="427"/>
        <v>724</v>
      </c>
      <c r="C752" s="19" t="s">
        <v>2161</v>
      </c>
      <c r="D752" s="4">
        <f t="shared" si="421"/>
        <v>11202534.25</v>
      </c>
      <c r="E752" s="1">
        <f t="shared" si="379"/>
        <v>11152534.25</v>
      </c>
      <c r="F752" s="1">
        <f>804*2841.41</f>
        <v>2284493.6399999997</v>
      </c>
      <c r="G752" s="1">
        <f>1693*2841.41</f>
        <v>4810507.13</v>
      </c>
      <c r="H752" s="1">
        <f>390*2841.41</f>
        <v>1108149.8999999999</v>
      </c>
      <c r="I752" s="1">
        <f>571*2841.41</f>
        <v>1622445.1099999999</v>
      </c>
      <c r="J752" s="1">
        <f>467*2841.41</f>
        <v>1326938.47</v>
      </c>
      <c r="K752" s="1">
        <v>0</v>
      </c>
      <c r="L752" s="2">
        <v>0</v>
      </c>
      <c r="M752" s="1">
        <v>0</v>
      </c>
      <c r="N752" s="1">
        <v>0</v>
      </c>
      <c r="O752" s="1">
        <f>N752*4968</f>
        <v>0</v>
      </c>
      <c r="P752" s="1">
        <v>0</v>
      </c>
      <c r="Q752" s="1">
        <f t="shared" si="377"/>
        <v>0</v>
      </c>
      <c r="R752" s="1">
        <v>0</v>
      </c>
      <c r="S752" s="1">
        <f t="shared" si="378"/>
        <v>0</v>
      </c>
      <c r="T752" s="1">
        <v>0</v>
      </c>
      <c r="U752" s="1">
        <v>50000</v>
      </c>
      <c r="V752" s="1">
        <v>0</v>
      </c>
      <c r="W752" s="1">
        <v>0</v>
      </c>
      <c r="X752" s="1">
        <v>0</v>
      </c>
      <c r="Y752" s="1">
        <v>0</v>
      </c>
      <c r="Z752" s="1">
        <v>0</v>
      </c>
      <c r="AA752" s="1">
        <v>0</v>
      </c>
      <c r="AB752" s="1">
        <v>0</v>
      </c>
      <c r="AC752" s="1">
        <v>0</v>
      </c>
      <c r="AD752" s="1">
        <v>0</v>
      </c>
    </row>
    <row r="753" spans="1:30" s="20" customFormat="1" ht="36" customHeight="1" x14ac:dyDescent="0.25">
      <c r="A753" s="2">
        <f t="shared" si="396"/>
        <v>725</v>
      </c>
      <c r="B753" s="6">
        <f>A753</f>
        <v>725</v>
      </c>
      <c r="C753" s="19" t="s">
        <v>2309</v>
      </c>
      <c r="D753" s="4">
        <f t="shared" si="421"/>
        <v>10700000</v>
      </c>
      <c r="E753" s="1">
        <f>SUM(F753:K753)</f>
        <v>0</v>
      </c>
      <c r="F753" s="1">
        <v>0</v>
      </c>
      <c r="G753" s="1">
        <v>0</v>
      </c>
      <c r="H753" s="1">
        <v>0</v>
      </c>
      <c r="I753" s="1">
        <v>0</v>
      </c>
      <c r="J753" s="1">
        <v>0</v>
      </c>
      <c r="K753" s="1">
        <v>0</v>
      </c>
      <c r="L753" s="2">
        <v>3</v>
      </c>
      <c r="M753" s="1">
        <f>L753*3500000</f>
        <v>10500000</v>
      </c>
      <c r="N753" s="1">
        <v>0</v>
      </c>
      <c r="O753" s="1">
        <v>0</v>
      </c>
      <c r="P753" s="1">
        <v>0</v>
      </c>
      <c r="Q753" s="1">
        <f>P753*1400</f>
        <v>0</v>
      </c>
      <c r="R753" s="1">
        <v>0</v>
      </c>
      <c r="S753" s="1">
        <f>R753*3751</f>
        <v>0</v>
      </c>
      <c r="T753" s="1">
        <v>0</v>
      </c>
      <c r="U753" s="1">
        <v>200000</v>
      </c>
      <c r="V753" s="1">
        <v>0</v>
      </c>
      <c r="W753" s="1">
        <v>0</v>
      </c>
      <c r="X753" s="1">
        <v>0</v>
      </c>
      <c r="Y753" s="1">
        <v>0</v>
      </c>
      <c r="Z753" s="1">
        <v>0</v>
      </c>
      <c r="AA753" s="1">
        <v>0</v>
      </c>
      <c r="AB753" s="1">
        <v>0</v>
      </c>
      <c r="AC753" s="1">
        <v>0</v>
      </c>
      <c r="AD753" s="1">
        <v>0</v>
      </c>
    </row>
    <row r="754" spans="1:30" s="20" customFormat="1" ht="36" customHeight="1" x14ac:dyDescent="0.25">
      <c r="A754" s="2">
        <f t="shared" si="396"/>
        <v>726</v>
      </c>
      <c r="B754" s="3">
        <f t="shared" si="405"/>
        <v>726</v>
      </c>
      <c r="C754" s="19" t="s">
        <v>2162</v>
      </c>
      <c r="D754" s="4">
        <f t="shared" si="421"/>
        <v>19519740.5</v>
      </c>
      <c r="E754" s="1">
        <f t="shared" ref="E754" si="428">SUM(F754:K754)</f>
        <v>11196062.5</v>
      </c>
      <c r="F754" s="1">
        <f>804*2852.5</f>
        <v>2293410</v>
      </c>
      <c r="G754" s="1">
        <f>1693*2852.5</f>
        <v>4829282.5</v>
      </c>
      <c r="H754" s="1">
        <f>390*2852.5</f>
        <v>1112475</v>
      </c>
      <c r="I754" s="1">
        <f>571*2852.5</f>
        <v>1628777.5</v>
      </c>
      <c r="J754" s="1">
        <f>467*2852.5</f>
        <v>1332117.5</v>
      </c>
      <c r="K754" s="1">
        <v>0</v>
      </c>
      <c r="L754" s="2">
        <v>0</v>
      </c>
      <c r="M754" s="1">
        <v>0</v>
      </c>
      <c r="N754" s="1">
        <v>631</v>
      </c>
      <c r="O754" s="1">
        <f>N754*4968</f>
        <v>3134808</v>
      </c>
      <c r="P754" s="1">
        <v>0</v>
      </c>
      <c r="Q754" s="1">
        <f t="shared" ref="Q754" si="429">P754*1400</f>
        <v>0</v>
      </c>
      <c r="R754" s="1">
        <v>1370</v>
      </c>
      <c r="S754" s="1">
        <f t="shared" ref="S754" si="430">R754*3751</f>
        <v>5138870</v>
      </c>
      <c r="T754" s="1">
        <v>0</v>
      </c>
      <c r="U754" s="1">
        <v>50000</v>
      </c>
      <c r="V754" s="1">
        <v>0</v>
      </c>
      <c r="W754" s="1">
        <v>0</v>
      </c>
      <c r="X754" s="1">
        <v>0</v>
      </c>
      <c r="Y754" s="1">
        <v>0</v>
      </c>
      <c r="Z754" s="1">
        <v>0</v>
      </c>
      <c r="AA754" s="1">
        <v>0</v>
      </c>
      <c r="AB754" s="1">
        <v>0</v>
      </c>
      <c r="AC754" s="1">
        <v>0</v>
      </c>
      <c r="AD754" s="1">
        <v>0</v>
      </c>
    </row>
    <row r="755" spans="1:30" s="20" customFormat="1" ht="36" customHeight="1" x14ac:dyDescent="0.25">
      <c r="A755" s="2">
        <f t="shared" si="396"/>
        <v>727</v>
      </c>
      <c r="B755" s="6">
        <f t="shared" ref="B755:B760" si="431">A755</f>
        <v>727</v>
      </c>
      <c r="C755" s="19" t="s">
        <v>2310</v>
      </c>
      <c r="D755" s="4">
        <f t="shared" si="421"/>
        <v>10700000</v>
      </c>
      <c r="E755" s="1">
        <f t="shared" ref="E755:E760" si="432">SUM(F755:K755)</f>
        <v>0</v>
      </c>
      <c r="F755" s="1">
        <v>0</v>
      </c>
      <c r="G755" s="1">
        <v>0</v>
      </c>
      <c r="H755" s="1">
        <v>0</v>
      </c>
      <c r="I755" s="1">
        <v>0</v>
      </c>
      <c r="J755" s="1">
        <v>0</v>
      </c>
      <c r="K755" s="1">
        <v>0</v>
      </c>
      <c r="L755" s="2">
        <v>3</v>
      </c>
      <c r="M755" s="1">
        <f>L755*3500000</f>
        <v>10500000</v>
      </c>
      <c r="N755" s="1">
        <v>0</v>
      </c>
      <c r="O755" s="1">
        <v>0</v>
      </c>
      <c r="P755" s="1">
        <v>0</v>
      </c>
      <c r="Q755" s="1">
        <f t="shared" ref="Q755:Q760" si="433">P755*1400</f>
        <v>0</v>
      </c>
      <c r="R755" s="1">
        <v>0</v>
      </c>
      <c r="S755" s="1">
        <f t="shared" ref="S755:S760" si="434">R755*3751</f>
        <v>0</v>
      </c>
      <c r="T755" s="1">
        <v>0</v>
      </c>
      <c r="U755" s="1">
        <v>200000</v>
      </c>
      <c r="V755" s="1">
        <v>0</v>
      </c>
      <c r="W755" s="1">
        <v>0</v>
      </c>
      <c r="X755" s="1">
        <v>0</v>
      </c>
      <c r="Y755" s="1">
        <v>0</v>
      </c>
      <c r="Z755" s="1">
        <v>0</v>
      </c>
      <c r="AA755" s="1">
        <v>0</v>
      </c>
      <c r="AB755" s="1">
        <v>0</v>
      </c>
      <c r="AC755" s="1">
        <v>0</v>
      </c>
      <c r="AD755" s="1">
        <v>0</v>
      </c>
    </row>
    <row r="756" spans="1:30" s="20" customFormat="1" ht="36" customHeight="1" x14ac:dyDescent="0.25">
      <c r="A756" s="2">
        <f t="shared" si="396"/>
        <v>728</v>
      </c>
      <c r="B756" s="6">
        <f t="shared" si="431"/>
        <v>728</v>
      </c>
      <c r="C756" s="19" t="s">
        <v>2311</v>
      </c>
      <c r="D756" s="4">
        <f t="shared" si="421"/>
        <v>10700000</v>
      </c>
      <c r="E756" s="1">
        <f t="shared" si="432"/>
        <v>0</v>
      </c>
      <c r="F756" s="1">
        <v>0</v>
      </c>
      <c r="G756" s="1">
        <v>0</v>
      </c>
      <c r="H756" s="1">
        <v>0</v>
      </c>
      <c r="I756" s="1">
        <v>0</v>
      </c>
      <c r="J756" s="1">
        <v>0</v>
      </c>
      <c r="K756" s="1">
        <v>0</v>
      </c>
      <c r="L756" s="2">
        <v>3</v>
      </c>
      <c r="M756" s="1">
        <f>L756*3500000</f>
        <v>10500000</v>
      </c>
      <c r="N756" s="1">
        <v>0</v>
      </c>
      <c r="O756" s="1">
        <v>0</v>
      </c>
      <c r="P756" s="1">
        <v>0</v>
      </c>
      <c r="Q756" s="1">
        <f t="shared" si="433"/>
        <v>0</v>
      </c>
      <c r="R756" s="1">
        <v>0</v>
      </c>
      <c r="S756" s="1">
        <f t="shared" si="434"/>
        <v>0</v>
      </c>
      <c r="T756" s="1">
        <v>0</v>
      </c>
      <c r="U756" s="1">
        <v>200000</v>
      </c>
      <c r="V756" s="1">
        <v>0</v>
      </c>
      <c r="W756" s="1">
        <v>0</v>
      </c>
      <c r="X756" s="1">
        <v>0</v>
      </c>
      <c r="Y756" s="1">
        <v>0</v>
      </c>
      <c r="Z756" s="1">
        <v>0</v>
      </c>
      <c r="AA756" s="1">
        <v>0</v>
      </c>
      <c r="AB756" s="1">
        <v>0</v>
      </c>
      <c r="AC756" s="1">
        <v>0</v>
      </c>
      <c r="AD756" s="1">
        <v>0</v>
      </c>
    </row>
    <row r="757" spans="1:30" s="20" customFormat="1" ht="36" customHeight="1" x14ac:dyDescent="0.25">
      <c r="A757" s="2">
        <f t="shared" si="396"/>
        <v>729</v>
      </c>
      <c r="B757" s="6">
        <f t="shared" si="431"/>
        <v>729</v>
      </c>
      <c r="C757" s="19" t="s">
        <v>2312</v>
      </c>
      <c r="D757" s="4">
        <f t="shared" si="421"/>
        <v>14200000</v>
      </c>
      <c r="E757" s="1">
        <f t="shared" si="432"/>
        <v>0</v>
      </c>
      <c r="F757" s="1">
        <v>0</v>
      </c>
      <c r="G757" s="1">
        <v>0</v>
      </c>
      <c r="H757" s="1">
        <v>0</v>
      </c>
      <c r="I757" s="1">
        <v>0</v>
      </c>
      <c r="J757" s="1">
        <v>0</v>
      </c>
      <c r="K757" s="1">
        <v>0</v>
      </c>
      <c r="L757" s="2">
        <v>4</v>
      </c>
      <c r="M757" s="1">
        <f>L757*3500000</f>
        <v>14000000</v>
      </c>
      <c r="N757" s="1">
        <v>0</v>
      </c>
      <c r="O757" s="1">
        <v>0</v>
      </c>
      <c r="P757" s="1">
        <v>0</v>
      </c>
      <c r="Q757" s="1">
        <f t="shared" si="433"/>
        <v>0</v>
      </c>
      <c r="R757" s="1">
        <v>0</v>
      </c>
      <c r="S757" s="1">
        <f t="shared" si="434"/>
        <v>0</v>
      </c>
      <c r="T757" s="1">
        <v>0</v>
      </c>
      <c r="U757" s="1">
        <v>200000</v>
      </c>
      <c r="V757" s="1">
        <v>0</v>
      </c>
      <c r="W757" s="1">
        <v>0</v>
      </c>
      <c r="X757" s="1">
        <v>0</v>
      </c>
      <c r="Y757" s="1">
        <v>0</v>
      </c>
      <c r="Z757" s="1">
        <v>0</v>
      </c>
      <c r="AA757" s="1">
        <v>0</v>
      </c>
      <c r="AB757" s="1">
        <v>0</v>
      </c>
      <c r="AC757" s="1">
        <v>0</v>
      </c>
      <c r="AD757" s="1">
        <v>0</v>
      </c>
    </row>
    <row r="758" spans="1:30" s="20" customFormat="1" ht="36" customHeight="1" x14ac:dyDescent="0.25">
      <c r="A758" s="2">
        <f t="shared" si="396"/>
        <v>730</v>
      </c>
      <c r="B758" s="6">
        <f t="shared" si="431"/>
        <v>730</v>
      </c>
      <c r="C758" s="19" t="s">
        <v>2313</v>
      </c>
      <c r="D758" s="4">
        <f t="shared" si="421"/>
        <v>21200000</v>
      </c>
      <c r="E758" s="1">
        <f t="shared" si="432"/>
        <v>0</v>
      </c>
      <c r="F758" s="1">
        <v>0</v>
      </c>
      <c r="G758" s="1">
        <v>0</v>
      </c>
      <c r="H758" s="1">
        <v>0</v>
      </c>
      <c r="I758" s="1">
        <v>0</v>
      </c>
      <c r="J758" s="1">
        <v>0</v>
      </c>
      <c r="K758" s="1">
        <v>0</v>
      </c>
      <c r="L758" s="2">
        <v>6</v>
      </c>
      <c r="M758" s="1">
        <f>L758*3500000</f>
        <v>21000000</v>
      </c>
      <c r="N758" s="1">
        <v>0</v>
      </c>
      <c r="O758" s="1">
        <v>0</v>
      </c>
      <c r="P758" s="1">
        <v>0</v>
      </c>
      <c r="Q758" s="1">
        <f t="shared" si="433"/>
        <v>0</v>
      </c>
      <c r="R758" s="1">
        <v>0</v>
      </c>
      <c r="S758" s="1">
        <f t="shared" si="434"/>
        <v>0</v>
      </c>
      <c r="T758" s="1">
        <v>0</v>
      </c>
      <c r="U758" s="1">
        <v>200000</v>
      </c>
      <c r="V758" s="1">
        <v>0</v>
      </c>
      <c r="W758" s="1">
        <v>0</v>
      </c>
      <c r="X758" s="1">
        <v>0</v>
      </c>
      <c r="Y758" s="1">
        <v>0</v>
      </c>
      <c r="Z758" s="1">
        <v>0</v>
      </c>
      <c r="AA758" s="1">
        <v>0</v>
      </c>
      <c r="AB758" s="1">
        <v>0</v>
      </c>
      <c r="AC758" s="1">
        <v>0</v>
      </c>
      <c r="AD758" s="1">
        <v>0</v>
      </c>
    </row>
    <row r="759" spans="1:30" s="20" customFormat="1" ht="36" customHeight="1" x14ac:dyDescent="0.25">
      <c r="A759" s="2">
        <f t="shared" si="396"/>
        <v>731</v>
      </c>
      <c r="B759" s="6">
        <f t="shared" si="431"/>
        <v>731</v>
      </c>
      <c r="C759" s="19" t="s">
        <v>2314</v>
      </c>
      <c r="D759" s="4">
        <f t="shared" si="421"/>
        <v>14200000</v>
      </c>
      <c r="E759" s="1">
        <f t="shared" si="432"/>
        <v>0</v>
      </c>
      <c r="F759" s="1">
        <v>0</v>
      </c>
      <c r="G759" s="1">
        <v>0</v>
      </c>
      <c r="H759" s="1">
        <v>0</v>
      </c>
      <c r="I759" s="1">
        <v>0</v>
      </c>
      <c r="J759" s="1">
        <v>0</v>
      </c>
      <c r="K759" s="1">
        <v>0</v>
      </c>
      <c r="L759" s="2">
        <v>4</v>
      </c>
      <c r="M759" s="1">
        <f>L759*3500000</f>
        <v>14000000</v>
      </c>
      <c r="N759" s="1">
        <v>0</v>
      </c>
      <c r="O759" s="1">
        <v>0</v>
      </c>
      <c r="P759" s="1">
        <v>0</v>
      </c>
      <c r="Q759" s="1">
        <f t="shared" si="433"/>
        <v>0</v>
      </c>
      <c r="R759" s="1">
        <v>0</v>
      </c>
      <c r="S759" s="1">
        <f t="shared" si="434"/>
        <v>0</v>
      </c>
      <c r="T759" s="1">
        <v>0</v>
      </c>
      <c r="U759" s="1">
        <v>200000</v>
      </c>
      <c r="V759" s="1">
        <v>0</v>
      </c>
      <c r="W759" s="1">
        <v>0</v>
      </c>
      <c r="X759" s="1">
        <v>0</v>
      </c>
      <c r="Y759" s="1">
        <v>0</v>
      </c>
      <c r="Z759" s="1">
        <v>0</v>
      </c>
      <c r="AA759" s="1">
        <v>0</v>
      </c>
      <c r="AB759" s="1">
        <v>0</v>
      </c>
      <c r="AC759" s="1">
        <v>0</v>
      </c>
      <c r="AD759" s="1">
        <v>0</v>
      </c>
    </row>
    <row r="760" spans="1:30" s="20" customFormat="1" ht="36" customHeight="1" x14ac:dyDescent="0.25">
      <c r="A760" s="2">
        <f t="shared" si="396"/>
        <v>732</v>
      </c>
      <c r="B760" s="6">
        <f t="shared" si="431"/>
        <v>732</v>
      </c>
      <c r="C760" s="19" t="s">
        <v>1734</v>
      </c>
      <c r="D760" s="4">
        <f t="shared" si="421"/>
        <v>10700000</v>
      </c>
      <c r="E760" s="1">
        <f t="shared" si="432"/>
        <v>0</v>
      </c>
      <c r="F760" s="1">
        <v>0</v>
      </c>
      <c r="G760" s="1">
        <v>0</v>
      </c>
      <c r="H760" s="1">
        <v>0</v>
      </c>
      <c r="I760" s="1">
        <v>0</v>
      </c>
      <c r="J760" s="1">
        <v>0</v>
      </c>
      <c r="K760" s="1">
        <v>0</v>
      </c>
      <c r="L760" s="2">
        <v>3</v>
      </c>
      <c r="M760" s="1">
        <f t="shared" si="381"/>
        <v>10500000</v>
      </c>
      <c r="N760" s="1">
        <v>0</v>
      </c>
      <c r="O760" s="1">
        <v>0</v>
      </c>
      <c r="P760" s="1">
        <v>0</v>
      </c>
      <c r="Q760" s="1">
        <f t="shared" si="433"/>
        <v>0</v>
      </c>
      <c r="R760" s="1">
        <v>0</v>
      </c>
      <c r="S760" s="1">
        <f t="shared" si="434"/>
        <v>0</v>
      </c>
      <c r="T760" s="1">
        <v>0</v>
      </c>
      <c r="U760" s="1">
        <v>200000</v>
      </c>
      <c r="V760" s="1">
        <v>0</v>
      </c>
      <c r="W760" s="1">
        <v>0</v>
      </c>
      <c r="X760" s="1">
        <v>0</v>
      </c>
      <c r="Y760" s="1">
        <v>0</v>
      </c>
      <c r="Z760" s="1">
        <v>0</v>
      </c>
      <c r="AA760" s="1">
        <v>0</v>
      </c>
      <c r="AB760" s="1">
        <v>0</v>
      </c>
      <c r="AC760" s="1">
        <v>0</v>
      </c>
      <c r="AD760" s="1">
        <v>0</v>
      </c>
    </row>
    <row r="761" spans="1:30" s="20" customFormat="1" ht="36" customHeight="1" x14ac:dyDescent="0.25">
      <c r="A761" s="2">
        <f t="shared" si="396"/>
        <v>733</v>
      </c>
      <c r="B761" s="6">
        <f>A761</f>
        <v>733</v>
      </c>
      <c r="C761" s="19" t="s">
        <v>2471</v>
      </c>
      <c r="D761" s="4">
        <f t="shared" si="421"/>
        <v>14552757.250000002</v>
      </c>
      <c r="E761" s="1">
        <f>SUM(F761:K761)</f>
        <v>14502757.250000002</v>
      </c>
      <c r="F761" s="1">
        <f>804*3694.97</f>
        <v>2970755.88</v>
      </c>
      <c r="G761" s="1">
        <f>1693*3694.97</f>
        <v>6255584.21</v>
      </c>
      <c r="H761" s="1">
        <f>390*3694.97</f>
        <v>1441038.2999999998</v>
      </c>
      <c r="I761" s="1">
        <f>571*3694.97</f>
        <v>2109827.87</v>
      </c>
      <c r="J761" s="1">
        <f>467*3694.97</f>
        <v>1725550.99</v>
      </c>
      <c r="K761" s="1">
        <v>0</v>
      </c>
      <c r="L761" s="2">
        <v>0</v>
      </c>
      <c r="M761" s="1">
        <f>L761*3500000</f>
        <v>0</v>
      </c>
      <c r="N761" s="1">
        <v>0</v>
      </c>
      <c r="O761" s="1">
        <v>0</v>
      </c>
      <c r="P761" s="1">
        <v>0</v>
      </c>
      <c r="Q761" s="1">
        <f>P761*1400</f>
        <v>0</v>
      </c>
      <c r="R761" s="1">
        <v>0</v>
      </c>
      <c r="S761" s="1">
        <f>R761*3751</f>
        <v>0</v>
      </c>
      <c r="T761" s="1">
        <v>0</v>
      </c>
      <c r="U761" s="1">
        <v>50000</v>
      </c>
      <c r="V761" s="1">
        <v>0</v>
      </c>
      <c r="W761" s="1">
        <v>0</v>
      </c>
      <c r="X761" s="1">
        <v>0</v>
      </c>
      <c r="Y761" s="1">
        <v>0</v>
      </c>
      <c r="Z761" s="1">
        <v>0</v>
      </c>
      <c r="AA761" s="1">
        <v>0</v>
      </c>
      <c r="AB761" s="1">
        <v>0</v>
      </c>
      <c r="AC761" s="1">
        <v>0</v>
      </c>
      <c r="AD761" s="1">
        <v>0</v>
      </c>
    </row>
    <row r="762" spans="1:30" s="20" customFormat="1" ht="36" customHeight="1" x14ac:dyDescent="0.25">
      <c r="A762" s="2">
        <f t="shared" si="396"/>
        <v>734</v>
      </c>
      <c r="B762" s="3">
        <f t="shared" ref="B762" si="435">A762</f>
        <v>734</v>
      </c>
      <c r="C762" s="19" t="s">
        <v>2472</v>
      </c>
      <c r="D762" s="4">
        <f t="shared" si="421"/>
        <v>23420486</v>
      </c>
      <c r="E762" s="1">
        <f t="shared" ref="E762" si="436">SUM(F762:K762)</f>
        <v>14116986</v>
      </c>
      <c r="F762" s="1">
        <f>804*4209</f>
        <v>3384036</v>
      </c>
      <c r="G762" s="1">
        <f>1693*4209</f>
        <v>7125837</v>
      </c>
      <c r="H762" s="1">
        <f>390*4209</f>
        <v>1641510</v>
      </c>
      <c r="I762" s="1">
        <v>0</v>
      </c>
      <c r="J762" s="1">
        <f>467*4209</f>
        <v>1965603</v>
      </c>
      <c r="K762" s="1">
        <v>0</v>
      </c>
      <c r="L762" s="2">
        <v>0</v>
      </c>
      <c r="M762" s="1">
        <v>0</v>
      </c>
      <c r="N762" s="1">
        <v>710</v>
      </c>
      <c r="O762" s="1">
        <f>N762*7750</f>
        <v>5502500</v>
      </c>
      <c r="P762" s="1">
        <v>0</v>
      </c>
      <c r="Q762" s="1">
        <f t="shared" ref="Q762" si="437">P762*1400</f>
        <v>0</v>
      </c>
      <c r="R762" s="1">
        <v>1000</v>
      </c>
      <c r="S762" s="1">
        <f t="shared" ref="S762" si="438">R762*3751</f>
        <v>3751000</v>
      </c>
      <c r="T762" s="1">
        <v>0</v>
      </c>
      <c r="U762" s="1">
        <v>50000</v>
      </c>
      <c r="V762" s="1">
        <v>0</v>
      </c>
      <c r="W762" s="1">
        <v>0</v>
      </c>
      <c r="X762" s="1">
        <v>0</v>
      </c>
      <c r="Y762" s="1">
        <v>0</v>
      </c>
      <c r="Z762" s="1">
        <v>0</v>
      </c>
      <c r="AA762" s="1">
        <v>0</v>
      </c>
      <c r="AB762" s="1">
        <v>0</v>
      </c>
      <c r="AC762" s="1">
        <v>0</v>
      </c>
      <c r="AD762" s="1">
        <v>0</v>
      </c>
    </row>
    <row r="763" spans="1:30" s="20" customFormat="1" ht="36" customHeight="1" x14ac:dyDescent="0.25">
      <c r="A763" s="2">
        <f t="shared" si="396"/>
        <v>735</v>
      </c>
      <c r="B763" s="6">
        <f t="shared" si="405"/>
        <v>735</v>
      </c>
      <c r="C763" s="19" t="s">
        <v>2473</v>
      </c>
      <c r="D763" s="4">
        <f t="shared" si="421"/>
        <v>12312949.25</v>
      </c>
      <c r="E763" s="1">
        <f t="shared" si="379"/>
        <v>7336649.2500000009</v>
      </c>
      <c r="F763" s="1">
        <f>804*1869.21</f>
        <v>1502844.84</v>
      </c>
      <c r="G763" s="1">
        <f>1693*1869.21</f>
        <v>3164572.5300000003</v>
      </c>
      <c r="H763" s="1">
        <f>390*1869.21</f>
        <v>728991.9</v>
      </c>
      <c r="I763" s="1">
        <f>571*1869.21</f>
        <v>1067318.9099999999</v>
      </c>
      <c r="J763" s="1">
        <f>467*1869.21</f>
        <v>872921.07000000007</v>
      </c>
      <c r="K763" s="1">
        <v>0</v>
      </c>
      <c r="L763" s="2">
        <v>0</v>
      </c>
      <c r="M763" s="1">
        <f t="shared" si="381"/>
        <v>0</v>
      </c>
      <c r="N763" s="1">
        <v>0</v>
      </c>
      <c r="O763" s="1">
        <v>0</v>
      </c>
      <c r="P763" s="1">
        <v>0</v>
      </c>
      <c r="Q763" s="1">
        <f t="shared" si="377"/>
        <v>0</v>
      </c>
      <c r="R763" s="1">
        <v>1300</v>
      </c>
      <c r="S763" s="1">
        <f t="shared" si="378"/>
        <v>4876300</v>
      </c>
      <c r="T763" s="1">
        <v>0</v>
      </c>
      <c r="U763" s="1">
        <v>50000</v>
      </c>
      <c r="V763" s="1">
        <v>0</v>
      </c>
      <c r="W763" s="1">
        <v>50000</v>
      </c>
      <c r="X763" s="1">
        <v>0</v>
      </c>
      <c r="Y763" s="1">
        <v>0</v>
      </c>
      <c r="Z763" s="1">
        <v>0</v>
      </c>
      <c r="AA763" s="1">
        <v>0</v>
      </c>
      <c r="AB763" s="1">
        <v>0</v>
      </c>
      <c r="AC763" s="1">
        <v>0</v>
      </c>
      <c r="AD763" s="1">
        <v>0</v>
      </c>
    </row>
    <row r="764" spans="1:30" s="20" customFormat="1" ht="36" customHeight="1" x14ac:dyDescent="0.25">
      <c r="A764" s="2">
        <f t="shared" si="396"/>
        <v>736</v>
      </c>
      <c r="B764" s="6">
        <f t="shared" si="405"/>
        <v>736</v>
      </c>
      <c r="C764" s="19" t="s">
        <v>456</v>
      </c>
      <c r="D764" s="4">
        <f t="shared" si="421"/>
        <v>4280600.75</v>
      </c>
      <c r="E764" s="1">
        <f t="shared" si="379"/>
        <v>2042530.75</v>
      </c>
      <c r="F764" s="1">
        <f>804*520.39</f>
        <v>418393.56</v>
      </c>
      <c r="G764" s="1">
        <f>1693*520.39</f>
        <v>881020.27</v>
      </c>
      <c r="H764" s="1">
        <f>390*520.39</f>
        <v>202952.1</v>
      </c>
      <c r="I764" s="1">
        <f>571*520.39</f>
        <v>297142.69</v>
      </c>
      <c r="J764" s="1">
        <f>467*520.39</f>
        <v>243022.13</v>
      </c>
      <c r="K764" s="1">
        <v>0</v>
      </c>
      <c r="L764" s="2">
        <v>0</v>
      </c>
      <c r="M764" s="1">
        <f t="shared" si="381"/>
        <v>0</v>
      </c>
      <c r="N764" s="1">
        <v>0</v>
      </c>
      <c r="O764" s="1">
        <v>0</v>
      </c>
      <c r="P764" s="1">
        <v>0</v>
      </c>
      <c r="Q764" s="1">
        <f t="shared" si="377"/>
        <v>0</v>
      </c>
      <c r="R764" s="1">
        <v>570</v>
      </c>
      <c r="S764" s="1">
        <f t="shared" si="378"/>
        <v>2138070</v>
      </c>
      <c r="T764" s="1">
        <v>0</v>
      </c>
      <c r="U764" s="1">
        <v>50000</v>
      </c>
      <c r="V764" s="1">
        <v>0</v>
      </c>
      <c r="W764" s="1">
        <v>50000</v>
      </c>
      <c r="X764" s="1">
        <v>0</v>
      </c>
      <c r="Y764" s="1">
        <v>0</v>
      </c>
      <c r="Z764" s="1">
        <v>0</v>
      </c>
      <c r="AA764" s="1">
        <v>0</v>
      </c>
      <c r="AB764" s="1">
        <v>0</v>
      </c>
      <c r="AC764" s="1">
        <v>0</v>
      </c>
      <c r="AD764" s="1">
        <v>0</v>
      </c>
    </row>
    <row r="765" spans="1:30" s="20" customFormat="1" ht="36" customHeight="1" x14ac:dyDescent="0.25">
      <c r="A765" s="2">
        <f t="shared" si="396"/>
        <v>737</v>
      </c>
      <c r="B765" s="6">
        <f t="shared" ref="B765:B771" si="439">A765</f>
        <v>737</v>
      </c>
      <c r="C765" s="19" t="s">
        <v>2317</v>
      </c>
      <c r="D765" s="4">
        <f t="shared" si="421"/>
        <v>7200000</v>
      </c>
      <c r="E765" s="1">
        <f t="shared" ref="E765:E771" si="440">SUM(F765:K765)</f>
        <v>0</v>
      </c>
      <c r="F765" s="1">
        <v>0</v>
      </c>
      <c r="G765" s="1">
        <v>0</v>
      </c>
      <c r="H765" s="1">
        <v>0</v>
      </c>
      <c r="I765" s="1">
        <v>0</v>
      </c>
      <c r="J765" s="1">
        <v>0</v>
      </c>
      <c r="K765" s="1">
        <v>0</v>
      </c>
      <c r="L765" s="2">
        <v>2</v>
      </c>
      <c r="M765" s="1">
        <f t="shared" ref="M765:M771" si="441">L765*3500000</f>
        <v>7000000</v>
      </c>
      <c r="N765" s="1">
        <v>0</v>
      </c>
      <c r="O765" s="1">
        <v>0</v>
      </c>
      <c r="P765" s="1">
        <v>0</v>
      </c>
      <c r="Q765" s="1">
        <f t="shared" ref="Q765:Q771" si="442">P765*1400</f>
        <v>0</v>
      </c>
      <c r="R765" s="1">
        <v>0</v>
      </c>
      <c r="S765" s="1">
        <f t="shared" ref="S765:S771" si="443">R765*3751</f>
        <v>0</v>
      </c>
      <c r="T765" s="1">
        <v>0</v>
      </c>
      <c r="U765" s="1">
        <v>200000</v>
      </c>
      <c r="V765" s="1">
        <v>0</v>
      </c>
      <c r="W765" s="1">
        <v>0</v>
      </c>
      <c r="X765" s="1">
        <v>0</v>
      </c>
      <c r="Y765" s="1">
        <v>0</v>
      </c>
      <c r="Z765" s="1">
        <v>0</v>
      </c>
      <c r="AA765" s="1">
        <v>0</v>
      </c>
      <c r="AB765" s="1">
        <v>0</v>
      </c>
      <c r="AC765" s="1">
        <v>0</v>
      </c>
      <c r="AD765" s="1">
        <v>0</v>
      </c>
    </row>
    <row r="766" spans="1:30" s="20" customFormat="1" ht="36" customHeight="1" x14ac:dyDescent="0.25">
      <c r="A766" s="2">
        <f t="shared" si="396"/>
        <v>738</v>
      </c>
      <c r="B766" s="6">
        <f t="shared" si="439"/>
        <v>738</v>
      </c>
      <c r="C766" s="19" t="s">
        <v>2318</v>
      </c>
      <c r="D766" s="4">
        <f t="shared" si="421"/>
        <v>10700000</v>
      </c>
      <c r="E766" s="1">
        <f t="shared" si="440"/>
        <v>0</v>
      </c>
      <c r="F766" s="1">
        <v>0</v>
      </c>
      <c r="G766" s="1">
        <v>0</v>
      </c>
      <c r="H766" s="1">
        <v>0</v>
      </c>
      <c r="I766" s="1">
        <v>0</v>
      </c>
      <c r="J766" s="1">
        <v>0</v>
      </c>
      <c r="K766" s="1">
        <v>0</v>
      </c>
      <c r="L766" s="2">
        <v>3</v>
      </c>
      <c r="M766" s="1">
        <f t="shared" si="441"/>
        <v>10500000</v>
      </c>
      <c r="N766" s="1">
        <v>0</v>
      </c>
      <c r="O766" s="1">
        <v>0</v>
      </c>
      <c r="P766" s="1">
        <v>0</v>
      </c>
      <c r="Q766" s="1">
        <f t="shared" si="442"/>
        <v>0</v>
      </c>
      <c r="R766" s="1">
        <v>0</v>
      </c>
      <c r="S766" s="1">
        <f t="shared" si="443"/>
        <v>0</v>
      </c>
      <c r="T766" s="1">
        <v>0</v>
      </c>
      <c r="U766" s="1">
        <v>200000</v>
      </c>
      <c r="V766" s="1">
        <v>0</v>
      </c>
      <c r="W766" s="1">
        <v>0</v>
      </c>
      <c r="X766" s="1">
        <v>0</v>
      </c>
      <c r="Y766" s="1">
        <v>0</v>
      </c>
      <c r="Z766" s="1">
        <v>0</v>
      </c>
      <c r="AA766" s="1">
        <v>0</v>
      </c>
      <c r="AB766" s="1">
        <v>0</v>
      </c>
      <c r="AC766" s="1">
        <v>0</v>
      </c>
      <c r="AD766" s="1">
        <v>0</v>
      </c>
    </row>
    <row r="767" spans="1:30" s="20" customFormat="1" ht="36" customHeight="1" x14ac:dyDescent="0.25">
      <c r="A767" s="2">
        <f t="shared" si="396"/>
        <v>739</v>
      </c>
      <c r="B767" s="2">
        <f t="shared" si="439"/>
        <v>739</v>
      </c>
      <c r="C767" s="19" t="s">
        <v>2319</v>
      </c>
      <c r="D767" s="39">
        <f t="shared" si="421"/>
        <v>3700000</v>
      </c>
      <c r="E767" s="1">
        <f t="shared" si="440"/>
        <v>0</v>
      </c>
      <c r="F767" s="1">
        <v>0</v>
      </c>
      <c r="G767" s="1">
        <v>0</v>
      </c>
      <c r="H767" s="1">
        <v>0</v>
      </c>
      <c r="I767" s="1">
        <v>0</v>
      </c>
      <c r="J767" s="1">
        <v>0</v>
      </c>
      <c r="K767" s="1">
        <v>0</v>
      </c>
      <c r="L767" s="2">
        <v>1</v>
      </c>
      <c r="M767" s="1">
        <f t="shared" si="441"/>
        <v>3500000</v>
      </c>
      <c r="N767" s="1">
        <v>0</v>
      </c>
      <c r="O767" s="1">
        <v>0</v>
      </c>
      <c r="P767" s="1">
        <v>0</v>
      </c>
      <c r="Q767" s="1">
        <f t="shared" si="442"/>
        <v>0</v>
      </c>
      <c r="R767" s="1">
        <v>0</v>
      </c>
      <c r="S767" s="1">
        <f t="shared" si="443"/>
        <v>0</v>
      </c>
      <c r="T767" s="1">
        <v>0</v>
      </c>
      <c r="U767" s="1">
        <v>200000</v>
      </c>
      <c r="V767" s="1">
        <v>0</v>
      </c>
      <c r="W767" s="1">
        <v>0</v>
      </c>
      <c r="X767" s="1">
        <v>0</v>
      </c>
      <c r="Y767" s="1">
        <v>0</v>
      </c>
      <c r="Z767" s="1">
        <v>0</v>
      </c>
      <c r="AA767" s="1">
        <v>0</v>
      </c>
      <c r="AB767" s="1">
        <v>0</v>
      </c>
      <c r="AC767" s="1">
        <v>0</v>
      </c>
      <c r="AD767" s="1">
        <v>0</v>
      </c>
    </row>
    <row r="768" spans="1:30" s="20" customFormat="1" ht="36" customHeight="1" x14ac:dyDescent="0.25">
      <c r="A768" s="2">
        <f t="shared" si="396"/>
        <v>740</v>
      </c>
      <c r="B768" s="2">
        <f t="shared" si="439"/>
        <v>740</v>
      </c>
      <c r="C768" s="19" t="s">
        <v>2320</v>
      </c>
      <c r="D768" s="39">
        <f t="shared" si="421"/>
        <v>3700000</v>
      </c>
      <c r="E768" s="1">
        <f t="shared" si="440"/>
        <v>0</v>
      </c>
      <c r="F768" s="1">
        <v>0</v>
      </c>
      <c r="G768" s="1">
        <v>0</v>
      </c>
      <c r="H768" s="1">
        <v>0</v>
      </c>
      <c r="I768" s="1">
        <v>0</v>
      </c>
      <c r="J768" s="1">
        <v>0</v>
      </c>
      <c r="K768" s="1">
        <v>0</v>
      </c>
      <c r="L768" s="2">
        <v>1</v>
      </c>
      <c r="M768" s="1">
        <f t="shared" si="441"/>
        <v>3500000</v>
      </c>
      <c r="N768" s="1">
        <v>0</v>
      </c>
      <c r="O768" s="1">
        <v>0</v>
      </c>
      <c r="P768" s="1">
        <v>0</v>
      </c>
      <c r="Q768" s="1">
        <f t="shared" si="442"/>
        <v>0</v>
      </c>
      <c r="R768" s="1">
        <v>0</v>
      </c>
      <c r="S768" s="1">
        <f t="shared" si="443"/>
        <v>0</v>
      </c>
      <c r="T768" s="1">
        <v>0</v>
      </c>
      <c r="U768" s="1">
        <v>200000</v>
      </c>
      <c r="V768" s="1">
        <v>0</v>
      </c>
      <c r="W768" s="1">
        <v>0</v>
      </c>
      <c r="X768" s="1">
        <v>0</v>
      </c>
      <c r="Y768" s="1">
        <v>0</v>
      </c>
      <c r="Z768" s="1">
        <v>0</v>
      </c>
      <c r="AA768" s="1">
        <v>0</v>
      </c>
      <c r="AB768" s="1">
        <v>0</v>
      </c>
      <c r="AC768" s="1">
        <v>0</v>
      </c>
      <c r="AD768" s="1">
        <v>0</v>
      </c>
    </row>
    <row r="769" spans="1:30" s="20" customFormat="1" ht="36" customHeight="1" x14ac:dyDescent="0.25">
      <c r="A769" s="2">
        <f t="shared" si="396"/>
        <v>741</v>
      </c>
      <c r="B769" s="6">
        <f t="shared" si="439"/>
        <v>741</v>
      </c>
      <c r="C769" s="19" t="s">
        <v>2321</v>
      </c>
      <c r="D769" s="4">
        <f t="shared" si="421"/>
        <v>3700000</v>
      </c>
      <c r="E769" s="1">
        <f t="shared" si="440"/>
        <v>0</v>
      </c>
      <c r="F769" s="1">
        <v>0</v>
      </c>
      <c r="G769" s="1">
        <v>0</v>
      </c>
      <c r="H769" s="1">
        <v>0</v>
      </c>
      <c r="I769" s="1">
        <v>0</v>
      </c>
      <c r="J769" s="1">
        <v>0</v>
      </c>
      <c r="K769" s="1">
        <v>0</v>
      </c>
      <c r="L769" s="2">
        <v>1</v>
      </c>
      <c r="M769" s="1">
        <f t="shared" si="441"/>
        <v>3500000</v>
      </c>
      <c r="N769" s="1">
        <v>0</v>
      </c>
      <c r="O769" s="1">
        <v>0</v>
      </c>
      <c r="P769" s="1">
        <v>0</v>
      </c>
      <c r="Q769" s="1">
        <f t="shared" si="442"/>
        <v>0</v>
      </c>
      <c r="R769" s="1">
        <v>0</v>
      </c>
      <c r="S769" s="1">
        <f t="shared" si="443"/>
        <v>0</v>
      </c>
      <c r="T769" s="1">
        <v>0</v>
      </c>
      <c r="U769" s="1">
        <v>200000</v>
      </c>
      <c r="V769" s="1">
        <v>0</v>
      </c>
      <c r="W769" s="1">
        <v>0</v>
      </c>
      <c r="X769" s="1">
        <v>0</v>
      </c>
      <c r="Y769" s="1">
        <v>0</v>
      </c>
      <c r="Z769" s="1">
        <v>0</v>
      </c>
      <c r="AA769" s="1">
        <v>0</v>
      </c>
      <c r="AB769" s="1">
        <v>0</v>
      </c>
      <c r="AC769" s="1">
        <v>0</v>
      </c>
      <c r="AD769" s="1">
        <v>0</v>
      </c>
    </row>
    <row r="770" spans="1:30" s="20" customFormat="1" ht="36" customHeight="1" x14ac:dyDescent="0.25">
      <c r="A770" s="2">
        <f t="shared" si="396"/>
        <v>742</v>
      </c>
      <c r="B770" s="6">
        <f t="shared" si="439"/>
        <v>742</v>
      </c>
      <c r="C770" s="19" t="s">
        <v>2322</v>
      </c>
      <c r="D770" s="4">
        <f t="shared" si="421"/>
        <v>3700000</v>
      </c>
      <c r="E770" s="1">
        <f t="shared" si="440"/>
        <v>0</v>
      </c>
      <c r="F770" s="1">
        <v>0</v>
      </c>
      <c r="G770" s="1">
        <v>0</v>
      </c>
      <c r="H770" s="1">
        <v>0</v>
      </c>
      <c r="I770" s="1">
        <v>0</v>
      </c>
      <c r="J770" s="1">
        <v>0</v>
      </c>
      <c r="K770" s="1">
        <v>0</v>
      </c>
      <c r="L770" s="2">
        <v>1</v>
      </c>
      <c r="M770" s="1">
        <f t="shared" si="441"/>
        <v>3500000</v>
      </c>
      <c r="N770" s="1">
        <v>0</v>
      </c>
      <c r="O770" s="1">
        <v>0</v>
      </c>
      <c r="P770" s="1">
        <v>0</v>
      </c>
      <c r="Q770" s="1">
        <f t="shared" si="442"/>
        <v>0</v>
      </c>
      <c r="R770" s="1">
        <v>0</v>
      </c>
      <c r="S770" s="1">
        <f t="shared" si="443"/>
        <v>0</v>
      </c>
      <c r="T770" s="1">
        <v>0</v>
      </c>
      <c r="U770" s="1">
        <v>200000</v>
      </c>
      <c r="V770" s="1">
        <v>0</v>
      </c>
      <c r="W770" s="1">
        <v>0</v>
      </c>
      <c r="X770" s="1">
        <v>0</v>
      </c>
      <c r="Y770" s="1">
        <v>0</v>
      </c>
      <c r="Z770" s="1">
        <v>0</v>
      </c>
      <c r="AA770" s="1">
        <v>0</v>
      </c>
      <c r="AB770" s="1">
        <v>0</v>
      </c>
      <c r="AC770" s="1">
        <v>0</v>
      </c>
      <c r="AD770" s="1">
        <v>0</v>
      </c>
    </row>
    <row r="771" spans="1:30" s="20" customFormat="1" ht="36" customHeight="1" x14ac:dyDescent="0.25">
      <c r="A771" s="2">
        <f t="shared" si="396"/>
        <v>743</v>
      </c>
      <c r="B771" s="6">
        <f t="shared" si="439"/>
        <v>743</v>
      </c>
      <c r="C771" s="19" t="s">
        <v>2316</v>
      </c>
      <c r="D771" s="4">
        <f t="shared" si="421"/>
        <v>17700000</v>
      </c>
      <c r="E771" s="1">
        <f t="shared" si="440"/>
        <v>0</v>
      </c>
      <c r="F771" s="1">
        <v>0</v>
      </c>
      <c r="G771" s="1">
        <v>0</v>
      </c>
      <c r="H771" s="1">
        <v>0</v>
      </c>
      <c r="I771" s="1">
        <v>0</v>
      </c>
      <c r="J771" s="1">
        <v>0</v>
      </c>
      <c r="K771" s="1">
        <v>0</v>
      </c>
      <c r="L771" s="2">
        <v>5</v>
      </c>
      <c r="M771" s="1">
        <f t="shared" si="441"/>
        <v>17500000</v>
      </c>
      <c r="N771" s="1">
        <v>0</v>
      </c>
      <c r="O771" s="1">
        <v>0</v>
      </c>
      <c r="P771" s="1">
        <v>0</v>
      </c>
      <c r="Q771" s="1">
        <f t="shared" si="442"/>
        <v>0</v>
      </c>
      <c r="R771" s="1">
        <v>0</v>
      </c>
      <c r="S771" s="1">
        <f t="shared" si="443"/>
        <v>0</v>
      </c>
      <c r="T771" s="1">
        <v>0</v>
      </c>
      <c r="U771" s="1">
        <v>200000</v>
      </c>
      <c r="V771" s="1">
        <v>0</v>
      </c>
      <c r="W771" s="1">
        <v>0</v>
      </c>
      <c r="X771" s="1">
        <v>0</v>
      </c>
      <c r="Y771" s="1">
        <v>0</v>
      </c>
      <c r="Z771" s="1">
        <v>0</v>
      </c>
      <c r="AA771" s="1">
        <v>0</v>
      </c>
      <c r="AB771" s="1">
        <v>0</v>
      </c>
      <c r="AC771" s="1">
        <v>0</v>
      </c>
      <c r="AD771" s="1">
        <v>0</v>
      </c>
    </row>
    <row r="772" spans="1:30" s="20" customFormat="1" ht="36" customHeight="1" x14ac:dyDescent="0.25">
      <c r="A772" s="2">
        <f t="shared" si="396"/>
        <v>744</v>
      </c>
      <c r="B772" s="6">
        <f t="shared" si="405"/>
        <v>744</v>
      </c>
      <c r="C772" s="19" t="s">
        <v>457</v>
      </c>
      <c r="D772" s="4">
        <f t="shared" si="421"/>
        <v>2400497.5</v>
      </c>
      <c r="E772" s="1">
        <f t="shared" si="379"/>
        <v>1100177.5000000002</v>
      </c>
      <c r="F772" s="1">
        <f>804*280.3</f>
        <v>225361.2</v>
      </c>
      <c r="G772" s="1">
        <f>1693*280.3</f>
        <v>474547.9</v>
      </c>
      <c r="H772" s="1">
        <f>390*280.3</f>
        <v>109317</v>
      </c>
      <c r="I772" s="1">
        <f>571*280.3</f>
        <v>160051.30000000002</v>
      </c>
      <c r="J772" s="1">
        <f>467*280.3</f>
        <v>130900.1</v>
      </c>
      <c r="K772" s="1">
        <v>0</v>
      </c>
      <c r="L772" s="2">
        <v>0</v>
      </c>
      <c r="M772" s="1">
        <f t="shared" si="381"/>
        <v>0</v>
      </c>
      <c r="N772" s="1">
        <v>0</v>
      </c>
      <c r="O772" s="1">
        <v>0</v>
      </c>
      <c r="P772" s="1">
        <v>0</v>
      </c>
      <c r="Q772" s="1">
        <f t="shared" si="377"/>
        <v>0</v>
      </c>
      <c r="R772" s="1">
        <v>320</v>
      </c>
      <c r="S772" s="1">
        <f t="shared" si="378"/>
        <v>1200320</v>
      </c>
      <c r="T772" s="1">
        <v>0</v>
      </c>
      <c r="U772" s="1">
        <v>50000</v>
      </c>
      <c r="V772" s="1">
        <v>0</v>
      </c>
      <c r="W772" s="1">
        <v>50000</v>
      </c>
      <c r="X772" s="1">
        <v>0</v>
      </c>
      <c r="Y772" s="1">
        <v>0</v>
      </c>
      <c r="Z772" s="1">
        <v>0</v>
      </c>
      <c r="AA772" s="1">
        <v>0</v>
      </c>
      <c r="AB772" s="1">
        <v>0</v>
      </c>
      <c r="AC772" s="1">
        <v>0</v>
      </c>
      <c r="AD772" s="1">
        <v>0</v>
      </c>
    </row>
    <row r="773" spans="1:30" s="20" customFormat="1" ht="36" customHeight="1" x14ac:dyDescent="0.25">
      <c r="A773" s="2">
        <f t="shared" si="396"/>
        <v>745</v>
      </c>
      <c r="B773" s="6">
        <f t="shared" si="405"/>
        <v>745</v>
      </c>
      <c r="C773" s="30" t="s">
        <v>458</v>
      </c>
      <c r="D773" s="4">
        <f t="shared" si="421"/>
        <v>3677104.25</v>
      </c>
      <c r="E773" s="1">
        <f t="shared" si="379"/>
        <v>2151724.25</v>
      </c>
      <c r="F773" s="1">
        <f>804*548.21</f>
        <v>440760.84</v>
      </c>
      <c r="G773" s="1">
        <f>1693*548.21</f>
        <v>928119.53</v>
      </c>
      <c r="H773" s="1">
        <f>390*548.21</f>
        <v>213801.90000000002</v>
      </c>
      <c r="I773" s="1">
        <f>571*548.21</f>
        <v>313027.91000000003</v>
      </c>
      <c r="J773" s="1">
        <f>467*548.21</f>
        <v>256014.07</v>
      </c>
      <c r="K773" s="1">
        <v>0</v>
      </c>
      <c r="L773" s="2">
        <v>0</v>
      </c>
      <c r="M773" s="1">
        <f t="shared" si="381"/>
        <v>0</v>
      </c>
      <c r="N773" s="1">
        <v>0</v>
      </c>
      <c r="O773" s="1">
        <v>0</v>
      </c>
      <c r="P773" s="1">
        <v>0</v>
      </c>
      <c r="Q773" s="1">
        <f t="shared" si="377"/>
        <v>0</v>
      </c>
      <c r="R773" s="1">
        <v>380</v>
      </c>
      <c r="S773" s="1">
        <f t="shared" si="378"/>
        <v>1425380</v>
      </c>
      <c r="T773" s="1">
        <v>0</v>
      </c>
      <c r="U773" s="1">
        <v>50000</v>
      </c>
      <c r="V773" s="1">
        <v>0</v>
      </c>
      <c r="W773" s="1">
        <v>50000</v>
      </c>
      <c r="X773" s="1">
        <v>0</v>
      </c>
      <c r="Y773" s="1">
        <v>0</v>
      </c>
      <c r="Z773" s="1">
        <v>0</v>
      </c>
      <c r="AA773" s="1">
        <v>0</v>
      </c>
      <c r="AB773" s="1">
        <v>0</v>
      </c>
      <c r="AC773" s="1">
        <v>0</v>
      </c>
      <c r="AD773" s="1">
        <v>0</v>
      </c>
    </row>
    <row r="774" spans="1:30" s="20" customFormat="1" ht="36" customHeight="1" x14ac:dyDescent="0.25">
      <c r="A774" s="2">
        <f t="shared" si="396"/>
        <v>746</v>
      </c>
      <c r="B774" s="6">
        <f t="shared" si="405"/>
        <v>746</v>
      </c>
      <c r="C774" s="30" t="s">
        <v>459</v>
      </c>
      <c r="D774" s="4">
        <f t="shared" si="421"/>
        <v>3713920.75</v>
      </c>
      <c r="E774" s="1">
        <f t="shared" si="379"/>
        <v>2188540.75</v>
      </c>
      <c r="F774" s="1">
        <f>804*557.59</f>
        <v>448302.36000000004</v>
      </c>
      <c r="G774" s="1">
        <f>1693*557.59</f>
        <v>943999.87000000011</v>
      </c>
      <c r="H774" s="1">
        <f>390*557.59</f>
        <v>217460.1</v>
      </c>
      <c r="I774" s="1">
        <f>571*557.59</f>
        <v>318383.89</v>
      </c>
      <c r="J774" s="1">
        <f>467*557.59</f>
        <v>260394.53000000003</v>
      </c>
      <c r="K774" s="1">
        <v>0</v>
      </c>
      <c r="L774" s="2">
        <v>0</v>
      </c>
      <c r="M774" s="1">
        <f t="shared" si="381"/>
        <v>0</v>
      </c>
      <c r="N774" s="1">
        <v>0</v>
      </c>
      <c r="O774" s="1">
        <v>0</v>
      </c>
      <c r="P774" s="1">
        <v>0</v>
      </c>
      <c r="Q774" s="1">
        <f t="shared" si="377"/>
        <v>0</v>
      </c>
      <c r="R774" s="1">
        <v>380</v>
      </c>
      <c r="S774" s="1">
        <f t="shared" si="378"/>
        <v>1425380</v>
      </c>
      <c r="T774" s="1">
        <v>0</v>
      </c>
      <c r="U774" s="1">
        <v>50000</v>
      </c>
      <c r="V774" s="1">
        <v>0</v>
      </c>
      <c r="W774" s="1">
        <v>50000</v>
      </c>
      <c r="X774" s="1">
        <v>0</v>
      </c>
      <c r="Y774" s="1">
        <v>0</v>
      </c>
      <c r="Z774" s="1">
        <v>0</v>
      </c>
      <c r="AA774" s="1">
        <v>0</v>
      </c>
      <c r="AB774" s="1">
        <v>0</v>
      </c>
      <c r="AC774" s="1">
        <v>0</v>
      </c>
      <c r="AD774" s="1">
        <v>0</v>
      </c>
    </row>
    <row r="775" spans="1:30" s="20" customFormat="1" ht="36" customHeight="1" x14ac:dyDescent="0.25">
      <c r="A775" s="2">
        <f t="shared" si="396"/>
        <v>747</v>
      </c>
      <c r="B775" s="6">
        <f>A775</f>
        <v>747</v>
      </c>
      <c r="C775" s="19" t="s">
        <v>2329</v>
      </c>
      <c r="D775" s="4">
        <f t="shared" si="421"/>
        <v>31700000</v>
      </c>
      <c r="E775" s="1">
        <f>SUM(F775:K775)</f>
        <v>0</v>
      </c>
      <c r="F775" s="1">
        <v>0</v>
      </c>
      <c r="G775" s="1">
        <v>0</v>
      </c>
      <c r="H775" s="1">
        <v>0</v>
      </c>
      <c r="I775" s="1">
        <v>0</v>
      </c>
      <c r="J775" s="1">
        <v>0</v>
      </c>
      <c r="K775" s="1">
        <v>0</v>
      </c>
      <c r="L775" s="2">
        <v>9</v>
      </c>
      <c r="M775" s="1">
        <f>L775*3500000</f>
        <v>31500000</v>
      </c>
      <c r="N775" s="1">
        <v>0</v>
      </c>
      <c r="O775" s="1">
        <v>0</v>
      </c>
      <c r="P775" s="1">
        <v>0</v>
      </c>
      <c r="Q775" s="1">
        <f>P775*1400</f>
        <v>0</v>
      </c>
      <c r="R775" s="1">
        <v>0</v>
      </c>
      <c r="S775" s="1">
        <f>R775*3751</f>
        <v>0</v>
      </c>
      <c r="T775" s="1">
        <v>0</v>
      </c>
      <c r="U775" s="1">
        <v>200000</v>
      </c>
      <c r="V775" s="1">
        <v>0</v>
      </c>
      <c r="W775" s="1">
        <v>0</v>
      </c>
      <c r="X775" s="1">
        <v>0</v>
      </c>
      <c r="Y775" s="1">
        <v>0</v>
      </c>
      <c r="Z775" s="1">
        <v>0</v>
      </c>
      <c r="AA775" s="1">
        <v>0</v>
      </c>
      <c r="AB775" s="1">
        <v>0</v>
      </c>
      <c r="AC775" s="1">
        <v>0</v>
      </c>
      <c r="AD775" s="1">
        <v>0</v>
      </c>
    </row>
    <row r="776" spans="1:30" s="20" customFormat="1" ht="36" customHeight="1" x14ac:dyDescent="0.25">
      <c r="A776" s="2">
        <f t="shared" si="396"/>
        <v>748</v>
      </c>
      <c r="B776" s="6">
        <f t="shared" si="405"/>
        <v>748</v>
      </c>
      <c r="C776" s="19" t="s">
        <v>1488</v>
      </c>
      <c r="D776" s="4">
        <f t="shared" si="421"/>
        <v>7200000</v>
      </c>
      <c r="E776" s="1">
        <f t="shared" si="379"/>
        <v>0</v>
      </c>
      <c r="F776" s="1">
        <v>0</v>
      </c>
      <c r="G776" s="1">
        <v>0</v>
      </c>
      <c r="H776" s="1">
        <v>0</v>
      </c>
      <c r="I776" s="1">
        <v>0</v>
      </c>
      <c r="J776" s="1">
        <v>0</v>
      </c>
      <c r="K776" s="1">
        <v>0</v>
      </c>
      <c r="L776" s="2">
        <v>2</v>
      </c>
      <c r="M776" s="1">
        <f t="shared" ref="M776:M779" si="444">L776*3500000</f>
        <v>7000000</v>
      </c>
      <c r="N776" s="1">
        <v>0</v>
      </c>
      <c r="O776" s="1">
        <v>0</v>
      </c>
      <c r="P776" s="1">
        <v>0</v>
      </c>
      <c r="Q776" s="1">
        <f t="shared" si="377"/>
        <v>0</v>
      </c>
      <c r="R776" s="1">
        <v>0</v>
      </c>
      <c r="S776" s="1">
        <f t="shared" si="378"/>
        <v>0</v>
      </c>
      <c r="T776" s="1">
        <v>0</v>
      </c>
      <c r="U776" s="1">
        <v>200000</v>
      </c>
      <c r="V776" s="1">
        <v>0</v>
      </c>
      <c r="W776" s="1">
        <v>0</v>
      </c>
      <c r="X776" s="1">
        <v>0</v>
      </c>
      <c r="Y776" s="1">
        <v>0</v>
      </c>
      <c r="Z776" s="1">
        <v>0</v>
      </c>
      <c r="AA776" s="1">
        <v>0</v>
      </c>
      <c r="AB776" s="1">
        <v>0</v>
      </c>
      <c r="AC776" s="1">
        <v>0</v>
      </c>
      <c r="AD776" s="1">
        <v>0</v>
      </c>
    </row>
    <row r="777" spans="1:30" s="20" customFormat="1" ht="36" customHeight="1" x14ac:dyDescent="0.25">
      <c r="A777" s="2">
        <f t="shared" si="396"/>
        <v>749</v>
      </c>
      <c r="B777" s="6">
        <f>A777</f>
        <v>749</v>
      </c>
      <c r="C777" s="19" t="s">
        <v>2331</v>
      </c>
      <c r="D777" s="4">
        <f t="shared" si="421"/>
        <v>14200000</v>
      </c>
      <c r="E777" s="1">
        <f>SUM(F777:K777)</f>
        <v>0</v>
      </c>
      <c r="F777" s="1">
        <v>0</v>
      </c>
      <c r="G777" s="1">
        <v>0</v>
      </c>
      <c r="H777" s="1">
        <v>0</v>
      </c>
      <c r="I777" s="1">
        <v>0</v>
      </c>
      <c r="J777" s="1">
        <v>0</v>
      </c>
      <c r="K777" s="1">
        <v>0</v>
      </c>
      <c r="L777" s="2">
        <v>4</v>
      </c>
      <c r="M777" s="1">
        <f>L777*3500000</f>
        <v>14000000</v>
      </c>
      <c r="N777" s="1">
        <v>0</v>
      </c>
      <c r="O777" s="1">
        <v>0</v>
      </c>
      <c r="P777" s="1">
        <v>0</v>
      </c>
      <c r="Q777" s="1">
        <f>P777*1400</f>
        <v>0</v>
      </c>
      <c r="R777" s="1">
        <v>0</v>
      </c>
      <c r="S777" s="1">
        <f>R777*3751</f>
        <v>0</v>
      </c>
      <c r="T777" s="1">
        <v>0</v>
      </c>
      <c r="U777" s="1">
        <v>200000</v>
      </c>
      <c r="V777" s="1">
        <v>0</v>
      </c>
      <c r="W777" s="1">
        <v>0</v>
      </c>
      <c r="X777" s="1">
        <v>0</v>
      </c>
      <c r="Y777" s="1">
        <v>0</v>
      </c>
      <c r="Z777" s="1">
        <v>0</v>
      </c>
      <c r="AA777" s="1">
        <v>0</v>
      </c>
      <c r="AB777" s="1">
        <v>0</v>
      </c>
      <c r="AC777" s="1">
        <v>0</v>
      </c>
      <c r="AD777" s="1">
        <v>0</v>
      </c>
    </row>
    <row r="778" spans="1:30" s="20" customFormat="1" ht="36" customHeight="1" x14ac:dyDescent="0.25">
      <c r="A778" s="2">
        <f t="shared" si="396"/>
        <v>750</v>
      </c>
      <c r="B778" s="6">
        <f>A778</f>
        <v>750</v>
      </c>
      <c r="C778" s="19" t="s">
        <v>2332</v>
      </c>
      <c r="D778" s="4">
        <f t="shared" si="421"/>
        <v>28200000</v>
      </c>
      <c r="E778" s="1">
        <f>SUM(F778:K778)</f>
        <v>0</v>
      </c>
      <c r="F778" s="1">
        <v>0</v>
      </c>
      <c r="G778" s="1">
        <v>0</v>
      </c>
      <c r="H778" s="1">
        <v>0</v>
      </c>
      <c r="I778" s="1">
        <v>0</v>
      </c>
      <c r="J778" s="1">
        <v>0</v>
      </c>
      <c r="K778" s="1">
        <v>0</v>
      </c>
      <c r="L778" s="2">
        <v>8</v>
      </c>
      <c r="M778" s="1">
        <f>L778*3500000</f>
        <v>28000000</v>
      </c>
      <c r="N778" s="1">
        <v>0</v>
      </c>
      <c r="O778" s="1">
        <v>0</v>
      </c>
      <c r="P778" s="1">
        <v>0</v>
      </c>
      <c r="Q778" s="1">
        <f>P778*1400</f>
        <v>0</v>
      </c>
      <c r="R778" s="1">
        <v>0</v>
      </c>
      <c r="S778" s="1">
        <f>R778*3751</f>
        <v>0</v>
      </c>
      <c r="T778" s="1">
        <v>0</v>
      </c>
      <c r="U778" s="1">
        <v>200000</v>
      </c>
      <c r="V778" s="1">
        <v>0</v>
      </c>
      <c r="W778" s="1">
        <v>0</v>
      </c>
      <c r="X778" s="1">
        <v>0</v>
      </c>
      <c r="Y778" s="1">
        <v>0</v>
      </c>
      <c r="Z778" s="1">
        <v>0</v>
      </c>
      <c r="AA778" s="1">
        <v>0</v>
      </c>
      <c r="AB778" s="1">
        <v>0</v>
      </c>
      <c r="AC778" s="1">
        <v>0</v>
      </c>
      <c r="AD778" s="1">
        <v>0</v>
      </c>
    </row>
    <row r="779" spans="1:30" s="20" customFormat="1" ht="36" customHeight="1" x14ac:dyDescent="0.25">
      <c r="A779" s="2">
        <f t="shared" si="396"/>
        <v>751</v>
      </c>
      <c r="B779" s="6">
        <f t="shared" si="405"/>
        <v>751</v>
      </c>
      <c r="C779" s="19" t="s">
        <v>2474</v>
      </c>
      <c r="D779" s="4">
        <f t="shared" si="421"/>
        <v>3700000</v>
      </c>
      <c r="E779" s="1">
        <f t="shared" si="379"/>
        <v>0</v>
      </c>
      <c r="F779" s="1">
        <v>0</v>
      </c>
      <c r="G779" s="1">
        <v>0</v>
      </c>
      <c r="H779" s="1">
        <v>0</v>
      </c>
      <c r="I779" s="1">
        <v>0</v>
      </c>
      <c r="J779" s="1">
        <v>0</v>
      </c>
      <c r="K779" s="1">
        <v>0</v>
      </c>
      <c r="L779" s="2">
        <v>1</v>
      </c>
      <c r="M779" s="1">
        <f t="shared" si="444"/>
        <v>3500000</v>
      </c>
      <c r="N779" s="1">
        <v>0</v>
      </c>
      <c r="O779" s="1">
        <v>0</v>
      </c>
      <c r="P779" s="1">
        <v>0</v>
      </c>
      <c r="Q779" s="1">
        <f t="shared" si="377"/>
        <v>0</v>
      </c>
      <c r="R779" s="1">
        <v>0</v>
      </c>
      <c r="S779" s="1">
        <f t="shared" si="378"/>
        <v>0</v>
      </c>
      <c r="T779" s="1">
        <v>0</v>
      </c>
      <c r="U779" s="1">
        <v>200000</v>
      </c>
      <c r="V779" s="1">
        <v>0</v>
      </c>
      <c r="W779" s="1">
        <v>0</v>
      </c>
      <c r="X779" s="1">
        <v>0</v>
      </c>
      <c r="Y779" s="1">
        <v>0</v>
      </c>
      <c r="Z779" s="1">
        <v>0</v>
      </c>
      <c r="AA779" s="1">
        <v>0</v>
      </c>
      <c r="AB779" s="1">
        <v>0</v>
      </c>
      <c r="AC779" s="1">
        <v>0</v>
      </c>
      <c r="AD779" s="1">
        <v>0</v>
      </c>
    </row>
    <row r="780" spans="1:30" s="20" customFormat="1" ht="36" customHeight="1" x14ac:dyDescent="0.25">
      <c r="A780" s="2">
        <f t="shared" si="396"/>
        <v>752</v>
      </c>
      <c r="B780" s="6">
        <f t="shared" ref="B780:B795" si="445">A780</f>
        <v>752</v>
      </c>
      <c r="C780" s="19" t="s">
        <v>2475</v>
      </c>
      <c r="D780" s="4">
        <f t="shared" si="421"/>
        <v>7200000</v>
      </c>
      <c r="E780" s="1">
        <f t="shared" ref="E780:E795" si="446">SUM(F780:K780)</f>
        <v>0</v>
      </c>
      <c r="F780" s="1">
        <v>0</v>
      </c>
      <c r="G780" s="1">
        <v>0</v>
      </c>
      <c r="H780" s="1">
        <v>0</v>
      </c>
      <c r="I780" s="1">
        <v>0</v>
      </c>
      <c r="J780" s="1">
        <v>0</v>
      </c>
      <c r="K780" s="1">
        <v>0</v>
      </c>
      <c r="L780" s="2">
        <v>2</v>
      </c>
      <c r="M780" s="1">
        <f t="shared" si="381"/>
        <v>7000000</v>
      </c>
      <c r="N780" s="1">
        <v>0</v>
      </c>
      <c r="O780" s="1">
        <v>0</v>
      </c>
      <c r="P780" s="1">
        <v>0</v>
      </c>
      <c r="Q780" s="1">
        <f t="shared" ref="Q780:Q795" si="447">P780*1400</f>
        <v>0</v>
      </c>
      <c r="R780" s="1">
        <v>0</v>
      </c>
      <c r="S780" s="1">
        <f t="shared" ref="S780:S795" si="448">R780*3751</f>
        <v>0</v>
      </c>
      <c r="T780" s="1">
        <v>0</v>
      </c>
      <c r="U780" s="1">
        <v>200000</v>
      </c>
      <c r="V780" s="1">
        <v>0</v>
      </c>
      <c r="W780" s="1">
        <v>0</v>
      </c>
      <c r="X780" s="1">
        <v>0</v>
      </c>
      <c r="Y780" s="1">
        <v>0</v>
      </c>
      <c r="Z780" s="1">
        <v>0</v>
      </c>
      <c r="AA780" s="1">
        <v>0</v>
      </c>
      <c r="AB780" s="1">
        <v>0</v>
      </c>
      <c r="AC780" s="1">
        <v>0</v>
      </c>
      <c r="AD780" s="1">
        <v>0</v>
      </c>
    </row>
    <row r="781" spans="1:30" s="20" customFormat="1" ht="36" customHeight="1" x14ac:dyDescent="0.25">
      <c r="A781" s="2">
        <f t="shared" si="396"/>
        <v>753</v>
      </c>
      <c r="B781" s="6">
        <f t="shared" ref="B781:B787" si="449">A781</f>
        <v>753</v>
      </c>
      <c r="C781" s="19" t="s">
        <v>2327</v>
      </c>
      <c r="D781" s="4">
        <f t="shared" si="421"/>
        <v>21200000</v>
      </c>
      <c r="E781" s="1">
        <f t="shared" ref="E781:E787" si="450">SUM(F781:K781)</f>
        <v>0</v>
      </c>
      <c r="F781" s="1">
        <v>0</v>
      </c>
      <c r="G781" s="1">
        <v>0</v>
      </c>
      <c r="H781" s="1">
        <v>0</v>
      </c>
      <c r="I781" s="1">
        <v>0</v>
      </c>
      <c r="J781" s="1">
        <v>0</v>
      </c>
      <c r="K781" s="1">
        <v>0</v>
      </c>
      <c r="L781" s="2">
        <v>6</v>
      </c>
      <c r="M781" s="1">
        <f>L781*3500000</f>
        <v>21000000</v>
      </c>
      <c r="N781" s="1">
        <v>0</v>
      </c>
      <c r="O781" s="1">
        <v>0</v>
      </c>
      <c r="P781" s="1">
        <v>0</v>
      </c>
      <c r="Q781" s="1">
        <f t="shared" ref="Q781:Q787" si="451">P781*1400</f>
        <v>0</v>
      </c>
      <c r="R781" s="1">
        <v>0</v>
      </c>
      <c r="S781" s="1">
        <f>R781*3751</f>
        <v>0</v>
      </c>
      <c r="T781" s="1">
        <v>0</v>
      </c>
      <c r="U781" s="1">
        <v>200000</v>
      </c>
      <c r="V781" s="1">
        <v>0</v>
      </c>
      <c r="W781" s="1">
        <v>0</v>
      </c>
      <c r="X781" s="1">
        <v>0</v>
      </c>
      <c r="Y781" s="1">
        <v>0</v>
      </c>
      <c r="Z781" s="1">
        <v>0</v>
      </c>
      <c r="AA781" s="1">
        <v>0</v>
      </c>
      <c r="AB781" s="1">
        <v>0</v>
      </c>
      <c r="AC781" s="1">
        <v>0</v>
      </c>
      <c r="AD781" s="1">
        <v>0</v>
      </c>
    </row>
    <row r="782" spans="1:30" s="20" customFormat="1" ht="36" customHeight="1" x14ac:dyDescent="0.25">
      <c r="A782" s="2">
        <f t="shared" si="396"/>
        <v>754</v>
      </c>
      <c r="B782" s="6">
        <f t="shared" si="449"/>
        <v>754</v>
      </c>
      <c r="C782" s="19" t="s">
        <v>2328</v>
      </c>
      <c r="D782" s="4">
        <f t="shared" si="421"/>
        <v>14200000</v>
      </c>
      <c r="E782" s="1">
        <f t="shared" si="450"/>
        <v>0</v>
      </c>
      <c r="F782" s="1">
        <v>0</v>
      </c>
      <c r="G782" s="1">
        <v>0</v>
      </c>
      <c r="H782" s="1">
        <v>0</v>
      </c>
      <c r="I782" s="1">
        <v>0</v>
      </c>
      <c r="J782" s="1">
        <v>0</v>
      </c>
      <c r="K782" s="1">
        <v>0</v>
      </c>
      <c r="L782" s="2">
        <v>4</v>
      </c>
      <c r="M782" s="1">
        <f>L782*3500000</f>
        <v>14000000</v>
      </c>
      <c r="N782" s="1">
        <v>0</v>
      </c>
      <c r="O782" s="1">
        <v>0</v>
      </c>
      <c r="P782" s="1">
        <v>0</v>
      </c>
      <c r="Q782" s="1">
        <f t="shared" si="451"/>
        <v>0</v>
      </c>
      <c r="R782" s="1">
        <v>0</v>
      </c>
      <c r="S782" s="1">
        <f>R782*3751</f>
        <v>0</v>
      </c>
      <c r="T782" s="1">
        <v>0</v>
      </c>
      <c r="U782" s="1">
        <v>200000</v>
      </c>
      <c r="V782" s="1">
        <v>0</v>
      </c>
      <c r="W782" s="1">
        <v>0</v>
      </c>
      <c r="X782" s="1">
        <v>0</v>
      </c>
      <c r="Y782" s="1">
        <v>0</v>
      </c>
      <c r="Z782" s="1">
        <v>0</v>
      </c>
      <c r="AA782" s="1">
        <v>0</v>
      </c>
      <c r="AB782" s="1">
        <v>0</v>
      </c>
      <c r="AC782" s="1">
        <v>0</v>
      </c>
      <c r="AD782" s="1">
        <v>0</v>
      </c>
    </row>
    <row r="783" spans="1:30" s="20" customFormat="1" ht="36" customHeight="1" x14ac:dyDescent="0.25">
      <c r="A783" s="2">
        <f t="shared" si="396"/>
        <v>755</v>
      </c>
      <c r="B783" s="6">
        <f t="shared" si="449"/>
        <v>755</v>
      </c>
      <c r="C783" s="19" t="s">
        <v>2330</v>
      </c>
      <c r="D783" s="4">
        <f t="shared" si="421"/>
        <v>42200000</v>
      </c>
      <c r="E783" s="1">
        <f t="shared" si="450"/>
        <v>0</v>
      </c>
      <c r="F783" s="1">
        <v>0</v>
      </c>
      <c r="G783" s="1">
        <v>0</v>
      </c>
      <c r="H783" s="1">
        <v>0</v>
      </c>
      <c r="I783" s="1">
        <v>0</v>
      </c>
      <c r="J783" s="1">
        <v>0</v>
      </c>
      <c r="K783" s="1">
        <v>0</v>
      </c>
      <c r="L783" s="2">
        <v>12</v>
      </c>
      <c r="M783" s="1">
        <f>L783*3500000</f>
        <v>42000000</v>
      </c>
      <c r="N783" s="1">
        <v>0</v>
      </c>
      <c r="O783" s="1">
        <v>0</v>
      </c>
      <c r="P783" s="1">
        <v>0</v>
      </c>
      <c r="Q783" s="1">
        <f t="shared" si="451"/>
        <v>0</v>
      </c>
      <c r="R783" s="1">
        <v>0</v>
      </c>
      <c r="S783" s="1">
        <f>R783*3751</f>
        <v>0</v>
      </c>
      <c r="T783" s="1">
        <v>0</v>
      </c>
      <c r="U783" s="1">
        <v>200000</v>
      </c>
      <c r="V783" s="1">
        <v>0</v>
      </c>
      <c r="W783" s="1">
        <v>0</v>
      </c>
      <c r="X783" s="1">
        <v>0</v>
      </c>
      <c r="Y783" s="1">
        <v>0</v>
      </c>
      <c r="Z783" s="1">
        <v>0</v>
      </c>
      <c r="AA783" s="1">
        <v>0</v>
      </c>
      <c r="AB783" s="1">
        <v>0</v>
      </c>
      <c r="AC783" s="1">
        <v>0</v>
      </c>
      <c r="AD783" s="1">
        <v>0</v>
      </c>
    </row>
    <row r="784" spans="1:30" s="20" customFormat="1" ht="36" customHeight="1" x14ac:dyDescent="0.25">
      <c r="A784" s="2">
        <f t="shared" si="396"/>
        <v>756</v>
      </c>
      <c r="B784" s="6">
        <f t="shared" si="449"/>
        <v>756</v>
      </c>
      <c r="C784" s="19" t="s">
        <v>998</v>
      </c>
      <c r="D784" s="4">
        <f t="shared" si="421"/>
        <v>2185920</v>
      </c>
      <c r="E784" s="1">
        <f t="shared" si="450"/>
        <v>0</v>
      </c>
      <c r="F784" s="1">
        <v>0</v>
      </c>
      <c r="G784" s="1">
        <v>0</v>
      </c>
      <c r="H784" s="1">
        <v>0</v>
      </c>
      <c r="I784" s="1">
        <v>0</v>
      </c>
      <c r="J784" s="1">
        <v>0</v>
      </c>
      <c r="K784" s="1">
        <v>0</v>
      </c>
      <c r="L784" s="2">
        <v>0</v>
      </c>
      <c r="M784" s="1">
        <v>0</v>
      </c>
      <c r="N784" s="1">
        <v>440</v>
      </c>
      <c r="O784" s="1">
        <f>N784*4968</f>
        <v>2185920</v>
      </c>
      <c r="P784" s="1">
        <v>0</v>
      </c>
      <c r="Q784" s="1">
        <f t="shared" si="451"/>
        <v>0</v>
      </c>
      <c r="R784" s="1">
        <v>0</v>
      </c>
      <c r="S784" s="1">
        <v>0</v>
      </c>
      <c r="T784" s="1">
        <v>0</v>
      </c>
      <c r="U784" s="1">
        <v>0</v>
      </c>
      <c r="V784" s="1">
        <v>0</v>
      </c>
      <c r="W784" s="1">
        <v>0</v>
      </c>
      <c r="X784" s="1">
        <v>0</v>
      </c>
      <c r="Y784" s="1">
        <v>0</v>
      </c>
      <c r="Z784" s="1">
        <v>0</v>
      </c>
      <c r="AA784" s="1">
        <v>0</v>
      </c>
      <c r="AB784" s="1">
        <v>0</v>
      </c>
      <c r="AC784" s="1">
        <v>0</v>
      </c>
      <c r="AD784" s="1">
        <v>0</v>
      </c>
    </row>
    <row r="785" spans="1:30" s="20" customFormat="1" ht="36" customHeight="1" x14ac:dyDescent="0.25">
      <c r="A785" s="2">
        <f t="shared" si="396"/>
        <v>757</v>
      </c>
      <c r="B785" s="6">
        <f t="shared" si="449"/>
        <v>757</v>
      </c>
      <c r="C785" s="19" t="s">
        <v>1000</v>
      </c>
      <c r="D785" s="4">
        <f t="shared" si="421"/>
        <v>4769280</v>
      </c>
      <c r="E785" s="1">
        <f t="shared" si="450"/>
        <v>0</v>
      </c>
      <c r="F785" s="1">
        <v>0</v>
      </c>
      <c r="G785" s="1">
        <v>0</v>
      </c>
      <c r="H785" s="1">
        <v>0</v>
      </c>
      <c r="I785" s="1">
        <v>0</v>
      </c>
      <c r="J785" s="1">
        <v>0</v>
      </c>
      <c r="K785" s="1">
        <v>0</v>
      </c>
      <c r="L785" s="2">
        <v>0</v>
      </c>
      <c r="M785" s="1">
        <v>0</v>
      </c>
      <c r="N785" s="1">
        <v>960</v>
      </c>
      <c r="O785" s="1">
        <f t="shared" ref="O785:O786" si="452">N785*4968</f>
        <v>4769280</v>
      </c>
      <c r="P785" s="1">
        <v>0</v>
      </c>
      <c r="Q785" s="1">
        <f t="shared" si="451"/>
        <v>0</v>
      </c>
      <c r="R785" s="1">
        <v>0</v>
      </c>
      <c r="S785" s="1">
        <v>0</v>
      </c>
      <c r="T785" s="1">
        <v>0</v>
      </c>
      <c r="U785" s="1">
        <v>0</v>
      </c>
      <c r="V785" s="1">
        <v>0</v>
      </c>
      <c r="W785" s="1">
        <v>0</v>
      </c>
      <c r="X785" s="1">
        <v>0</v>
      </c>
      <c r="Y785" s="1">
        <v>0</v>
      </c>
      <c r="Z785" s="1">
        <v>0</v>
      </c>
      <c r="AA785" s="1">
        <v>0</v>
      </c>
      <c r="AB785" s="1">
        <v>0</v>
      </c>
      <c r="AC785" s="1">
        <v>0</v>
      </c>
      <c r="AD785" s="1">
        <v>0</v>
      </c>
    </row>
    <row r="786" spans="1:30" s="20" customFormat="1" ht="36" customHeight="1" x14ac:dyDescent="0.25">
      <c r="A786" s="2">
        <f t="shared" si="396"/>
        <v>758</v>
      </c>
      <c r="B786" s="6">
        <f t="shared" si="449"/>
        <v>758</v>
      </c>
      <c r="C786" s="19" t="s">
        <v>1001</v>
      </c>
      <c r="D786" s="4">
        <f t="shared" si="421"/>
        <v>4769280</v>
      </c>
      <c r="E786" s="1">
        <f t="shared" si="450"/>
        <v>0</v>
      </c>
      <c r="F786" s="1">
        <v>0</v>
      </c>
      <c r="G786" s="1">
        <v>0</v>
      </c>
      <c r="H786" s="1">
        <v>0</v>
      </c>
      <c r="I786" s="1">
        <v>0</v>
      </c>
      <c r="J786" s="1">
        <v>0</v>
      </c>
      <c r="K786" s="1">
        <v>0</v>
      </c>
      <c r="L786" s="2">
        <v>0</v>
      </c>
      <c r="M786" s="1">
        <v>0</v>
      </c>
      <c r="N786" s="1">
        <v>960</v>
      </c>
      <c r="O786" s="1">
        <f t="shared" si="452"/>
        <v>4769280</v>
      </c>
      <c r="P786" s="1">
        <v>0</v>
      </c>
      <c r="Q786" s="1">
        <f t="shared" si="451"/>
        <v>0</v>
      </c>
      <c r="R786" s="1">
        <v>0</v>
      </c>
      <c r="S786" s="1">
        <v>0</v>
      </c>
      <c r="T786" s="1">
        <v>0</v>
      </c>
      <c r="U786" s="1">
        <v>0</v>
      </c>
      <c r="V786" s="1">
        <v>0</v>
      </c>
      <c r="W786" s="1">
        <v>0</v>
      </c>
      <c r="X786" s="1">
        <v>0</v>
      </c>
      <c r="Y786" s="1">
        <v>0</v>
      </c>
      <c r="Z786" s="1">
        <v>0</v>
      </c>
      <c r="AA786" s="1">
        <v>0</v>
      </c>
      <c r="AB786" s="1">
        <v>0</v>
      </c>
      <c r="AC786" s="1">
        <v>0</v>
      </c>
      <c r="AD786" s="1">
        <v>0</v>
      </c>
    </row>
    <row r="787" spans="1:30" s="20" customFormat="1" ht="36" customHeight="1" x14ac:dyDescent="0.25">
      <c r="A787" s="2">
        <f t="shared" si="396"/>
        <v>759</v>
      </c>
      <c r="B787" s="6">
        <f t="shared" si="449"/>
        <v>759</v>
      </c>
      <c r="C787" s="19" t="s">
        <v>2345</v>
      </c>
      <c r="D787" s="4">
        <f t="shared" si="421"/>
        <v>21200000</v>
      </c>
      <c r="E787" s="1">
        <f t="shared" si="450"/>
        <v>0</v>
      </c>
      <c r="F787" s="1">
        <v>0</v>
      </c>
      <c r="G787" s="1">
        <v>0</v>
      </c>
      <c r="H787" s="1">
        <v>0</v>
      </c>
      <c r="I787" s="1">
        <v>0</v>
      </c>
      <c r="J787" s="1">
        <v>0</v>
      </c>
      <c r="K787" s="1">
        <v>0</v>
      </c>
      <c r="L787" s="2">
        <v>6</v>
      </c>
      <c r="M787" s="1">
        <f>L787*3500000</f>
        <v>21000000</v>
      </c>
      <c r="N787" s="1">
        <v>0</v>
      </c>
      <c r="O787" s="1">
        <v>0</v>
      </c>
      <c r="P787" s="1">
        <v>0</v>
      </c>
      <c r="Q787" s="1">
        <f t="shared" si="451"/>
        <v>0</v>
      </c>
      <c r="R787" s="1">
        <v>0</v>
      </c>
      <c r="S787" s="1">
        <f>R787*3751</f>
        <v>0</v>
      </c>
      <c r="T787" s="1">
        <v>0</v>
      </c>
      <c r="U787" s="1">
        <v>200000</v>
      </c>
      <c r="V787" s="1">
        <v>0</v>
      </c>
      <c r="W787" s="1">
        <v>0</v>
      </c>
      <c r="X787" s="1">
        <v>0</v>
      </c>
      <c r="Y787" s="1">
        <v>0</v>
      </c>
      <c r="Z787" s="1">
        <v>0</v>
      </c>
      <c r="AA787" s="1">
        <v>0</v>
      </c>
      <c r="AB787" s="1">
        <v>0</v>
      </c>
      <c r="AC787" s="1">
        <v>0</v>
      </c>
      <c r="AD787" s="1">
        <v>0</v>
      </c>
    </row>
    <row r="788" spans="1:30" s="20" customFormat="1" ht="36" customHeight="1" x14ac:dyDescent="0.25">
      <c r="A788" s="2">
        <f t="shared" si="396"/>
        <v>760</v>
      </c>
      <c r="B788" s="6">
        <f t="shared" si="445"/>
        <v>760</v>
      </c>
      <c r="C788" s="19" t="s">
        <v>1736</v>
      </c>
      <c r="D788" s="4">
        <f t="shared" si="421"/>
        <v>7200000</v>
      </c>
      <c r="E788" s="1">
        <f t="shared" si="446"/>
        <v>0</v>
      </c>
      <c r="F788" s="1">
        <v>0</v>
      </c>
      <c r="G788" s="1">
        <v>0</v>
      </c>
      <c r="H788" s="1">
        <v>0</v>
      </c>
      <c r="I788" s="1">
        <v>0</v>
      </c>
      <c r="J788" s="1">
        <v>0</v>
      </c>
      <c r="K788" s="1">
        <v>0</v>
      </c>
      <c r="L788" s="2">
        <v>2</v>
      </c>
      <c r="M788" s="1">
        <f t="shared" si="381"/>
        <v>7000000</v>
      </c>
      <c r="N788" s="1">
        <v>0</v>
      </c>
      <c r="O788" s="1">
        <v>0</v>
      </c>
      <c r="P788" s="1">
        <v>0</v>
      </c>
      <c r="Q788" s="1">
        <f t="shared" si="447"/>
        <v>0</v>
      </c>
      <c r="R788" s="1">
        <v>0</v>
      </c>
      <c r="S788" s="1">
        <f t="shared" si="448"/>
        <v>0</v>
      </c>
      <c r="T788" s="1">
        <v>0</v>
      </c>
      <c r="U788" s="1">
        <v>200000</v>
      </c>
      <c r="V788" s="1">
        <v>0</v>
      </c>
      <c r="W788" s="1">
        <v>0</v>
      </c>
      <c r="X788" s="1">
        <v>0</v>
      </c>
      <c r="Y788" s="1">
        <v>0</v>
      </c>
      <c r="Z788" s="1">
        <v>0</v>
      </c>
      <c r="AA788" s="1">
        <v>0</v>
      </c>
      <c r="AB788" s="1">
        <v>0</v>
      </c>
      <c r="AC788" s="1">
        <v>0</v>
      </c>
      <c r="AD788" s="1">
        <v>0</v>
      </c>
    </row>
    <row r="789" spans="1:30" s="20" customFormat="1" ht="36" customHeight="1" x14ac:dyDescent="0.25">
      <c r="A789" s="2">
        <f t="shared" si="396"/>
        <v>761</v>
      </c>
      <c r="B789" s="6">
        <f>A789</f>
        <v>761</v>
      </c>
      <c r="C789" s="19" t="s">
        <v>2346</v>
      </c>
      <c r="D789" s="4">
        <f t="shared" si="421"/>
        <v>21200000</v>
      </c>
      <c r="E789" s="1">
        <f>SUM(F789:K789)</f>
        <v>0</v>
      </c>
      <c r="F789" s="1">
        <v>0</v>
      </c>
      <c r="G789" s="1">
        <v>0</v>
      </c>
      <c r="H789" s="1">
        <v>0</v>
      </c>
      <c r="I789" s="1">
        <v>0</v>
      </c>
      <c r="J789" s="1">
        <v>0</v>
      </c>
      <c r="K789" s="1">
        <v>0</v>
      </c>
      <c r="L789" s="2">
        <v>6</v>
      </c>
      <c r="M789" s="1">
        <f>L789*3500000</f>
        <v>21000000</v>
      </c>
      <c r="N789" s="1">
        <v>0</v>
      </c>
      <c r="O789" s="1">
        <v>0</v>
      </c>
      <c r="P789" s="1">
        <v>0</v>
      </c>
      <c r="Q789" s="1">
        <f>P789*1400</f>
        <v>0</v>
      </c>
      <c r="R789" s="1">
        <v>0</v>
      </c>
      <c r="S789" s="1">
        <f>R789*3751</f>
        <v>0</v>
      </c>
      <c r="T789" s="1">
        <v>0</v>
      </c>
      <c r="U789" s="1">
        <v>200000</v>
      </c>
      <c r="V789" s="1">
        <v>0</v>
      </c>
      <c r="W789" s="1">
        <v>0</v>
      </c>
      <c r="X789" s="1">
        <v>0</v>
      </c>
      <c r="Y789" s="1">
        <v>0</v>
      </c>
      <c r="Z789" s="1">
        <v>0</v>
      </c>
      <c r="AA789" s="1">
        <v>0</v>
      </c>
      <c r="AB789" s="1">
        <v>0</v>
      </c>
      <c r="AC789" s="1">
        <v>0</v>
      </c>
      <c r="AD789" s="1">
        <v>0</v>
      </c>
    </row>
    <row r="790" spans="1:30" s="20" customFormat="1" ht="36" customHeight="1" x14ac:dyDescent="0.25">
      <c r="A790" s="2">
        <f t="shared" si="396"/>
        <v>762</v>
      </c>
      <c r="B790" s="6">
        <f t="shared" si="445"/>
        <v>762</v>
      </c>
      <c r="C790" s="19" t="s">
        <v>1737</v>
      </c>
      <c r="D790" s="4">
        <f t="shared" si="421"/>
        <v>7200000</v>
      </c>
      <c r="E790" s="1">
        <f t="shared" si="446"/>
        <v>0</v>
      </c>
      <c r="F790" s="1">
        <v>0</v>
      </c>
      <c r="G790" s="1">
        <v>0</v>
      </c>
      <c r="H790" s="1">
        <v>0</v>
      </c>
      <c r="I790" s="1">
        <v>0</v>
      </c>
      <c r="J790" s="1">
        <v>0</v>
      </c>
      <c r="K790" s="1">
        <v>0</v>
      </c>
      <c r="L790" s="2">
        <v>2</v>
      </c>
      <c r="M790" s="1">
        <f t="shared" si="381"/>
        <v>7000000</v>
      </c>
      <c r="N790" s="1">
        <v>0</v>
      </c>
      <c r="O790" s="1">
        <v>0</v>
      </c>
      <c r="P790" s="1">
        <v>0</v>
      </c>
      <c r="Q790" s="1">
        <f t="shared" si="447"/>
        <v>0</v>
      </c>
      <c r="R790" s="1">
        <v>0</v>
      </c>
      <c r="S790" s="1">
        <f t="shared" si="448"/>
        <v>0</v>
      </c>
      <c r="T790" s="1">
        <v>0</v>
      </c>
      <c r="U790" s="1">
        <v>200000</v>
      </c>
      <c r="V790" s="1">
        <v>0</v>
      </c>
      <c r="W790" s="1">
        <v>0</v>
      </c>
      <c r="X790" s="1">
        <v>0</v>
      </c>
      <c r="Y790" s="1">
        <v>0</v>
      </c>
      <c r="Z790" s="1">
        <v>0</v>
      </c>
      <c r="AA790" s="1">
        <v>0</v>
      </c>
      <c r="AB790" s="1">
        <v>0</v>
      </c>
      <c r="AC790" s="1">
        <v>0</v>
      </c>
      <c r="AD790" s="1">
        <v>0</v>
      </c>
    </row>
    <row r="791" spans="1:30" s="20" customFormat="1" ht="36" customHeight="1" x14ac:dyDescent="0.25">
      <c r="A791" s="2">
        <f t="shared" si="396"/>
        <v>763</v>
      </c>
      <c r="B791" s="6">
        <f t="shared" si="445"/>
        <v>763</v>
      </c>
      <c r="C791" s="19" t="s">
        <v>1738</v>
      </c>
      <c r="D791" s="4">
        <f t="shared" si="421"/>
        <v>7200000</v>
      </c>
      <c r="E791" s="1">
        <f t="shared" si="446"/>
        <v>0</v>
      </c>
      <c r="F791" s="1">
        <v>0</v>
      </c>
      <c r="G791" s="1">
        <v>0</v>
      </c>
      <c r="H791" s="1">
        <v>0</v>
      </c>
      <c r="I791" s="1">
        <v>0</v>
      </c>
      <c r="J791" s="1">
        <v>0</v>
      </c>
      <c r="K791" s="1">
        <v>0</v>
      </c>
      <c r="L791" s="2">
        <v>2</v>
      </c>
      <c r="M791" s="1">
        <f t="shared" si="381"/>
        <v>7000000</v>
      </c>
      <c r="N791" s="1">
        <v>0</v>
      </c>
      <c r="O791" s="1">
        <v>0</v>
      </c>
      <c r="P791" s="1">
        <v>0</v>
      </c>
      <c r="Q791" s="1">
        <f t="shared" si="447"/>
        <v>0</v>
      </c>
      <c r="R791" s="1">
        <v>0</v>
      </c>
      <c r="S791" s="1">
        <f t="shared" si="448"/>
        <v>0</v>
      </c>
      <c r="T791" s="1">
        <v>0</v>
      </c>
      <c r="U791" s="1">
        <v>200000</v>
      </c>
      <c r="V791" s="1">
        <v>0</v>
      </c>
      <c r="W791" s="1">
        <v>0</v>
      </c>
      <c r="X791" s="1">
        <v>0</v>
      </c>
      <c r="Y791" s="1">
        <v>0</v>
      </c>
      <c r="Z791" s="1">
        <v>0</v>
      </c>
      <c r="AA791" s="1">
        <v>0</v>
      </c>
      <c r="AB791" s="1">
        <v>0</v>
      </c>
      <c r="AC791" s="1">
        <v>0</v>
      </c>
      <c r="AD791" s="1">
        <v>0</v>
      </c>
    </row>
    <row r="792" spans="1:30" s="20" customFormat="1" ht="36" customHeight="1" x14ac:dyDescent="0.25">
      <c r="A792" s="2">
        <f t="shared" si="396"/>
        <v>764</v>
      </c>
      <c r="B792" s="6">
        <f>A792</f>
        <v>764</v>
      </c>
      <c r="C792" s="19" t="s">
        <v>2347</v>
      </c>
      <c r="D792" s="4">
        <f t="shared" si="421"/>
        <v>24700000</v>
      </c>
      <c r="E792" s="1">
        <f>SUM(F792:K792)</f>
        <v>0</v>
      </c>
      <c r="F792" s="1">
        <v>0</v>
      </c>
      <c r="G792" s="1">
        <v>0</v>
      </c>
      <c r="H792" s="1">
        <v>0</v>
      </c>
      <c r="I792" s="1">
        <v>0</v>
      </c>
      <c r="J792" s="1">
        <v>0</v>
      </c>
      <c r="K792" s="1">
        <v>0</v>
      </c>
      <c r="L792" s="2">
        <v>7</v>
      </c>
      <c r="M792" s="1">
        <f>L792*3500000</f>
        <v>24500000</v>
      </c>
      <c r="N792" s="1">
        <v>0</v>
      </c>
      <c r="O792" s="1">
        <v>0</v>
      </c>
      <c r="P792" s="1">
        <v>0</v>
      </c>
      <c r="Q792" s="1">
        <f>P792*1400</f>
        <v>0</v>
      </c>
      <c r="R792" s="1">
        <v>0</v>
      </c>
      <c r="S792" s="1">
        <f>R792*3751</f>
        <v>0</v>
      </c>
      <c r="T792" s="1">
        <v>0</v>
      </c>
      <c r="U792" s="1">
        <v>200000</v>
      </c>
      <c r="V792" s="1">
        <v>0</v>
      </c>
      <c r="W792" s="1">
        <v>0</v>
      </c>
      <c r="X792" s="1">
        <v>0</v>
      </c>
      <c r="Y792" s="1">
        <v>0</v>
      </c>
      <c r="Z792" s="1">
        <v>0</v>
      </c>
      <c r="AA792" s="1">
        <v>0</v>
      </c>
      <c r="AB792" s="1">
        <v>0</v>
      </c>
      <c r="AC792" s="1">
        <v>0</v>
      </c>
      <c r="AD792" s="1">
        <v>0</v>
      </c>
    </row>
    <row r="793" spans="1:30" s="20" customFormat="1" ht="36" customHeight="1" x14ac:dyDescent="0.25">
      <c r="A793" s="2">
        <f t="shared" si="396"/>
        <v>765</v>
      </c>
      <c r="B793" s="6">
        <f>A793</f>
        <v>765</v>
      </c>
      <c r="C793" s="19" t="s">
        <v>2348</v>
      </c>
      <c r="D793" s="4">
        <f t="shared" si="421"/>
        <v>7200000</v>
      </c>
      <c r="E793" s="1">
        <f>SUM(F793:K793)</f>
        <v>0</v>
      </c>
      <c r="F793" s="1">
        <v>0</v>
      </c>
      <c r="G793" s="1">
        <v>0</v>
      </c>
      <c r="H793" s="1">
        <v>0</v>
      </c>
      <c r="I793" s="1">
        <v>0</v>
      </c>
      <c r="J793" s="1">
        <v>0</v>
      </c>
      <c r="K793" s="1">
        <v>0</v>
      </c>
      <c r="L793" s="2">
        <v>2</v>
      </c>
      <c r="M793" s="1">
        <f>L793*3500000</f>
        <v>7000000</v>
      </c>
      <c r="N793" s="1">
        <v>0</v>
      </c>
      <c r="O793" s="1">
        <v>0</v>
      </c>
      <c r="P793" s="1">
        <v>0</v>
      </c>
      <c r="Q793" s="1">
        <f>P793*1400</f>
        <v>0</v>
      </c>
      <c r="R793" s="1">
        <v>0</v>
      </c>
      <c r="S793" s="1">
        <f>R793*3751</f>
        <v>0</v>
      </c>
      <c r="T793" s="1">
        <v>0</v>
      </c>
      <c r="U793" s="1">
        <v>200000</v>
      </c>
      <c r="V793" s="1">
        <v>0</v>
      </c>
      <c r="W793" s="1">
        <v>0</v>
      </c>
      <c r="X793" s="1">
        <v>0</v>
      </c>
      <c r="Y793" s="1">
        <v>0</v>
      </c>
      <c r="Z793" s="1">
        <v>0</v>
      </c>
      <c r="AA793" s="1">
        <v>0</v>
      </c>
      <c r="AB793" s="1">
        <v>0</v>
      </c>
      <c r="AC793" s="1">
        <v>0</v>
      </c>
      <c r="AD793" s="1">
        <v>0</v>
      </c>
    </row>
    <row r="794" spans="1:30" s="20" customFormat="1" ht="36" customHeight="1" x14ac:dyDescent="0.25">
      <c r="A794" s="2">
        <f t="shared" si="396"/>
        <v>766</v>
      </c>
      <c r="B794" s="6">
        <f>A794</f>
        <v>766</v>
      </c>
      <c r="C794" s="19" t="s">
        <v>2349</v>
      </c>
      <c r="D794" s="4">
        <f t="shared" si="421"/>
        <v>24700000</v>
      </c>
      <c r="E794" s="1">
        <f>SUM(F794:K794)</f>
        <v>0</v>
      </c>
      <c r="F794" s="1">
        <v>0</v>
      </c>
      <c r="G794" s="1">
        <v>0</v>
      </c>
      <c r="H794" s="1">
        <v>0</v>
      </c>
      <c r="I794" s="1">
        <v>0</v>
      </c>
      <c r="J794" s="1">
        <v>0</v>
      </c>
      <c r="K794" s="1">
        <v>0</v>
      </c>
      <c r="L794" s="2">
        <v>7</v>
      </c>
      <c r="M794" s="1">
        <f>L794*3500000</f>
        <v>24500000</v>
      </c>
      <c r="N794" s="1">
        <v>0</v>
      </c>
      <c r="O794" s="1">
        <v>0</v>
      </c>
      <c r="P794" s="1">
        <v>0</v>
      </c>
      <c r="Q794" s="1">
        <f>P794*1400</f>
        <v>0</v>
      </c>
      <c r="R794" s="1">
        <v>0</v>
      </c>
      <c r="S794" s="1">
        <f>R794*3751</f>
        <v>0</v>
      </c>
      <c r="T794" s="1">
        <v>0</v>
      </c>
      <c r="U794" s="1">
        <v>200000</v>
      </c>
      <c r="V794" s="1">
        <v>0</v>
      </c>
      <c r="W794" s="1">
        <v>0</v>
      </c>
      <c r="X794" s="1">
        <v>0</v>
      </c>
      <c r="Y794" s="1">
        <v>0</v>
      </c>
      <c r="Z794" s="1">
        <v>0</v>
      </c>
      <c r="AA794" s="1">
        <v>0</v>
      </c>
      <c r="AB794" s="1">
        <v>0</v>
      </c>
      <c r="AC794" s="1">
        <v>0</v>
      </c>
      <c r="AD794" s="1">
        <v>0</v>
      </c>
    </row>
    <row r="795" spans="1:30" s="20" customFormat="1" ht="36" customHeight="1" x14ac:dyDescent="0.25">
      <c r="A795" s="2">
        <f t="shared" si="396"/>
        <v>767</v>
      </c>
      <c r="B795" s="6">
        <f t="shared" si="445"/>
        <v>767</v>
      </c>
      <c r="C795" s="19" t="s">
        <v>1739</v>
      </c>
      <c r="D795" s="4">
        <f t="shared" si="421"/>
        <v>7200000</v>
      </c>
      <c r="E795" s="1">
        <f t="shared" si="446"/>
        <v>0</v>
      </c>
      <c r="F795" s="1">
        <v>0</v>
      </c>
      <c r="G795" s="1">
        <v>0</v>
      </c>
      <c r="H795" s="1">
        <v>0</v>
      </c>
      <c r="I795" s="1">
        <v>0</v>
      </c>
      <c r="J795" s="1">
        <v>0</v>
      </c>
      <c r="K795" s="1">
        <v>0</v>
      </c>
      <c r="L795" s="2">
        <v>2</v>
      </c>
      <c r="M795" s="1">
        <f t="shared" si="381"/>
        <v>7000000</v>
      </c>
      <c r="N795" s="1">
        <v>0</v>
      </c>
      <c r="O795" s="1">
        <v>0</v>
      </c>
      <c r="P795" s="1">
        <v>0</v>
      </c>
      <c r="Q795" s="1">
        <f t="shared" si="447"/>
        <v>0</v>
      </c>
      <c r="R795" s="1">
        <v>0</v>
      </c>
      <c r="S795" s="1">
        <f t="shared" si="448"/>
        <v>0</v>
      </c>
      <c r="T795" s="1">
        <v>0</v>
      </c>
      <c r="U795" s="1">
        <v>200000</v>
      </c>
      <c r="V795" s="1">
        <v>0</v>
      </c>
      <c r="W795" s="1">
        <v>0</v>
      </c>
      <c r="X795" s="1">
        <v>0</v>
      </c>
      <c r="Y795" s="1">
        <v>0</v>
      </c>
      <c r="Z795" s="1">
        <v>0</v>
      </c>
      <c r="AA795" s="1">
        <v>0</v>
      </c>
      <c r="AB795" s="1">
        <v>0</v>
      </c>
      <c r="AC795" s="1">
        <v>0</v>
      </c>
      <c r="AD795" s="1">
        <v>0</v>
      </c>
    </row>
    <row r="796" spans="1:30" s="20" customFormat="1" ht="36" customHeight="1" x14ac:dyDescent="0.25">
      <c r="A796" s="2">
        <f t="shared" si="396"/>
        <v>768</v>
      </c>
      <c r="B796" s="6">
        <f t="shared" ref="B796:B811" si="453">A796</f>
        <v>768</v>
      </c>
      <c r="C796" s="19" t="s">
        <v>2350</v>
      </c>
      <c r="D796" s="4">
        <f t="shared" si="421"/>
        <v>21200000</v>
      </c>
      <c r="E796" s="1">
        <f t="shared" ref="E796:E811" si="454">SUM(F796:K796)</f>
        <v>0</v>
      </c>
      <c r="F796" s="1">
        <v>0</v>
      </c>
      <c r="G796" s="1">
        <v>0</v>
      </c>
      <c r="H796" s="1">
        <v>0</v>
      </c>
      <c r="I796" s="1">
        <v>0</v>
      </c>
      <c r="J796" s="1">
        <v>0</v>
      </c>
      <c r="K796" s="1">
        <v>0</v>
      </c>
      <c r="L796" s="2">
        <v>6</v>
      </c>
      <c r="M796" s="1">
        <f t="shared" ref="M796:M811" si="455">L796*3500000</f>
        <v>21000000</v>
      </c>
      <c r="N796" s="1">
        <v>0</v>
      </c>
      <c r="O796" s="1">
        <v>0</v>
      </c>
      <c r="P796" s="1">
        <v>0</v>
      </c>
      <c r="Q796" s="1">
        <f t="shared" ref="Q796:Q811" si="456">P796*1400</f>
        <v>0</v>
      </c>
      <c r="R796" s="1">
        <v>0</v>
      </c>
      <c r="S796" s="1">
        <f t="shared" ref="S796:S811" si="457">R796*3751</f>
        <v>0</v>
      </c>
      <c r="T796" s="1">
        <v>0</v>
      </c>
      <c r="U796" s="1">
        <v>200000</v>
      </c>
      <c r="V796" s="1">
        <v>0</v>
      </c>
      <c r="W796" s="1">
        <v>0</v>
      </c>
      <c r="X796" s="1">
        <v>0</v>
      </c>
      <c r="Y796" s="1">
        <v>0</v>
      </c>
      <c r="Z796" s="1">
        <v>0</v>
      </c>
      <c r="AA796" s="1">
        <v>0</v>
      </c>
      <c r="AB796" s="1">
        <v>0</v>
      </c>
      <c r="AC796" s="1">
        <v>0</v>
      </c>
      <c r="AD796" s="1">
        <v>0</v>
      </c>
    </row>
    <row r="797" spans="1:30" s="20" customFormat="1" ht="36" customHeight="1" x14ac:dyDescent="0.25">
      <c r="A797" s="2">
        <f t="shared" si="396"/>
        <v>769</v>
      </c>
      <c r="B797" s="6">
        <f t="shared" si="453"/>
        <v>769</v>
      </c>
      <c r="C797" s="19" t="s">
        <v>1735</v>
      </c>
      <c r="D797" s="4">
        <f t="shared" si="421"/>
        <v>14200000</v>
      </c>
      <c r="E797" s="1">
        <f t="shared" si="454"/>
        <v>0</v>
      </c>
      <c r="F797" s="1">
        <v>0</v>
      </c>
      <c r="G797" s="1">
        <v>0</v>
      </c>
      <c r="H797" s="1">
        <v>0</v>
      </c>
      <c r="I797" s="1">
        <v>0</v>
      </c>
      <c r="J797" s="1">
        <v>0</v>
      </c>
      <c r="K797" s="1">
        <v>0</v>
      </c>
      <c r="L797" s="2">
        <v>4</v>
      </c>
      <c r="M797" s="1">
        <f t="shared" si="455"/>
        <v>14000000</v>
      </c>
      <c r="N797" s="1">
        <v>0</v>
      </c>
      <c r="O797" s="1">
        <v>0</v>
      </c>
      <c r="P797" s="1">
        <v>0</v>
      </c>
      <c r="Q797" s="1">
        <f t="shared" si="456"/>
        <v>0</v>
      </c>
      <c r="R797" s="1">
        <v>0</v>
      </c>
      <c r="S797" s="1">
        <f t="shared" si="457"/>
        <v>0</v>
      </c>
      <c r="T797" s="1">
        <v>0</v>
      </c>
      <c r="U797" s="1">
        <v>200000</v>
      </c>
      <c r="V797" s="1">
        <v>0</v>
      </c>
      <c r="W797" s="1">
        <v>0</v>
      </c>
      <c r="X797" s="1">
        <v>0</v>
      </c>
      <c r="Y797" s="1">
        <v>0</v>
      </c>
      <c r="Z797" s="1">
        <v>0</v>
      </c>
      <c r="AA797" s="1">
        <v>0</v>
      </c>
      <c r="AB797" s="1">
        <v>0</v>
      </c>
      <c r="AC797" s="1">
        <v>0</v>
      </c>
      <c r="AD797" s="1">
        <v>0</v>
      </c>
    </row>
    <row r="798" spans="1:30" s="20" customFormat="1" ht="36" customHeight="1" x14ac:dyDescent="0.25">
      <c r="A798" s="2">
        <f t="shared" si="396"/>
        <v>770</v>
      </c>
      <c r="B798" s="6">
        <f t="shared" si="453"/>
        <v>770</v>
      </c>
      <c r="C798" s="19" t="s">
        <v>2333</v>
      </c>
      <c r="D798" s="4">
        <f t="shared" si="421"/>
        <v>14200000</v>
      </c>
      <c r="E798" s="1">
        <f t="shared" si="454"/>
        <v>0</v>
      </c>
      <c r="F798" s="1">
        <v>0</v>
      </c>
      <c r="G798" s="1">
        <v>0</v>
      </c>
      <c r="H798" s="1">
        <v>0</v>
      </c>
      <c r="I798" s="1">
        <v>0</v>
      </c>
      <c r="J798" s="1">
        <v>0</v>
      </c>
      <c r="K798" s="1">
        <v>0</v>
      </c>
      <c r="L798" s="2">
        <v>4</v>
      </c>
      <c r="M798" s="1">
        <f t="shared" si="455"/>
        <v>14000000</v>
      </c>
      <c r="N798" s="1">
        <v>0</v>
      </c>
      <c r="O798" s="1">
        <v>0</v>
      </c>
      <c r="P798" s="1">
        <v>0</v>
      </c>
      <c r="Q798" s="1">
        <f t="shared" si="456"/>
        <v>0</v>
      </c>
      <c r="R798" s="1">
        <v>0</v>
      </c>
      <c r="S798" s="1">
        <f t="shared" si="457"/>
        <v>0</v>
      </c>
      <c r="T798" s="1">
        <v>0</v>
      </c>
      <c r="U798" s="1">
        <v>200000</v>
      </c>
      <c r="V798" s="1">
        <v>0</v>
      </c>
      <c r="W798" s="1">
        <v>0</v>
      </c>
      <c r="X798" s="1">
        <v>0</v>
      </c>
      <c r="Y798" s="1">
        <v>0</v>
      </c>
      <c r="Z798" s="1">
        <v>0</v>
      </c>
      <c r="AA798" s="1">
        <v>0</v>
      </c>
      <c r="AB798" s="1">
        <v>0</v>
      </c>
      <c r="AC798" s="1">
        <v>0</v>
      </c>
      <c r="AD798" s="1">
        <v>0</v>
      </c>
    </row>
    <row r="799" spans="1:30" s="20" customFormat="1" ht="36" customHeight="1" x14ac:dyDescent="0.25">
      <c r="A799" s="2">
        <f t="shared" si="396"/>
        <v>771</v>
      </c>
      <c r="B799" s="6">
        <f t="shared" si="453"/>
        <v>771</v>
      </c>
      <c r="C799" s="19" t="s">
        <v>2334</v>
      </c>
      <c r="D799" s="4">
        <f t="shared" si="421"/>
        <v>31700000</v>
      </c>
      <c r="E799" s="1">
        <f t="shared" si="454"/>
        <v>0</v>
      </c>
      <c r="F799" s="1">
        <v>0</v>
      </c>
      <c r="G799" s="1">
        <v>0</v>
      </c>
      <c r="H799" s="1">
        <v>0</v>
      </c>
      <c r="I799" s="1">
        <v>0</v>
      </c>
      <c r="J799" s="1">
        <v>0</v>
      </c>
      <c r="K799" s="1">
        <v>0</v>
      </c>
      <c r="L799" s="2">
        <v>9</v>
      </c>
      <c r="M799" s="1">
        <f t="shared" si="455"/>
        <v>31500000</v>
      </c>
      <c r="N799" s="1">
        <v>0</v>
      </c>
      <c r="O799" s="1">
        <v>0</v>
      </c>
      <c r="P799" s="1">
        <v>0</v>
      </c>
      <c r="Q799" s="1">
        <f t="shared" si="456"/>
        <v>0</v>
      </c>
      <c r="R799" s="1">
        <v>0</v>
      </c>
      <c r="S799" s="1">
        <f t="shared" si="457"/>
        <v>0</v>
      </c>
      <c r="T799" s="1">
        <v>0</v>
      </c>
      <c r="U799" s="1">
        <v>200000</v>
      </c>
      <c r="V799" s="1">
        <v>0</v>
      </c>
      <c r="W799" s="1">
        <v>0</v>
      </c>
      <c r="X799" s="1">
        <v>0</v>
      </c>
      <c r="Y799" s="1">
        <v>0</v>
      </c>
      <c r="Z799" s="1">
        <v>0</v>
      </c>
      <c r="AA799" s="1">
        <v>0</v>
      </c>
      <c r="AB799" s="1">
        <v>0</v>
      </c>
      <c r="AC799" s="1">
        <v>0</v>
      </c>
      <c r="AD799" s="1">
        <v>0</v>
      </c>
    </row>
    <row r="800" spans="1:30" s="20" customFormat="1" ht="36" customHeight="1" x14ac:dyDescent="0.25">
      <c r="A800" s="2">
        <f t="shared" si="396"/>
        <v>772</v>
      </c>
      <c r="B800" s="6">
        <f t="shared" si="453"/>
        <v>772</v>
      </c>
      <c r="C800" s="19" t="s">
        <v>2335</v>
      </c>
      <c r="D800" s="4">
        <f t="shared" si="421"/>
        <v>3700000</v>
      </c>
      <c r="E800" s="1">
        <f t="shared" si="454"/>
        <v>0</v>
      </c>
      <c r="F800" s="1">
        <v>0</v>
      </c>
      <c r="G800" s="1">
        <v>0</v>
      </c>
      <c r="H800" s="1">
        <v>0</v>
      </c>
      <c r="I800" s="1">
        <v>0</v>
      </c>
      <c r="J800" s="1">
        <v>0</v>
      </c>
      <c r="K800" s="1">
        <v>0</v>
      </c>
      <c r="L800" s="2">
        <v>1</v>
      </c>
      <c r="M800" s="1">
        <f t="shared" si="455"/>
        <v>3500000</v>
      </c>
      <c r="N800" s="1">
        <v>0</v>
      </c>
      <c r="O800" s="1">
        <v>0</v>
      </c>
      <c r="P800" s="1">
        <v>0</v>
      </c>
      <c r="Q800" s="1">
        <f t="shared" si="456"/>
        <v>0</v>
      </c>
      <c r="R800" s="1">
        <v>0</v>
      </c>
      <c r="S800" s="1">
        <f t="shared" si="457"/>
        <v>0</v>
      </c>
      <c r="T800" s="1">
        <v>0</v>
      </c>
      <c r="U800" s="1">
        <v>200000</v>
      </c>
      <c r="V800" s="1">
        <v>0</v>
      </c>
      <c r="W800" s="1">
        <v>0</v>
      </c>
      <c r="X800" s="1">
        <v>0</v>
      </c>
      <c r="Y800" s="1">
        <v>0</v>
      </c>
      <c r="Z800" s="1">
        <v>0</v>
      </c>
      <c r="AA800" s="1">
        <v>0</v>
      </c>
      <c r="AB800" s="1">
        <v>0</v>
      </c>
      <c r="AC800" s="1">
        <v>0</v>
      </c>
      <c r="AD800" s="1">
        <v>0</v>
      </c>
    </row>
    <row r="801" spans="1:30" s="20" customFormat="1" ht="36" customHeight="1" x14ac:dyDescent="0.25">
      <c r="A801" s="2">
        <f t="shared" si="396"/>
        <v>773</v>
      </c>
      <c r="B801" s="6">
        <f t="shared" si="453"/>
        <v>773</v>
      </c>
      <c r="C801" s="19" t="s">
        <v>2434</v>
      </c>
      <c r="D801" s="4">
        <f t="shared" ref="D801:D864" si="458">E801+M801+O801+Q801+S801+T801+U801+V801+W801+X801+Z801+AA801+AB801+AC801+AD801</f>
        <v>7200000</v>
      </c>
      <c r="E801" s="1">
        <f t="shared" si="454"/>
        <v>0</v>
      </c>
      <c r="F801" s="1">
        <v>0</v>
      </c>
      <c r="G801" s="1">
        <v>0</v>
      </c>
      <c r="H801" s="1">
        <v>0</v>
      </c>
      <c r="I801" s="1">
        <v>0</v>
      </c>
      <c r="J801" s="1">
        <v>0</v>
      </c>
      <c r="K801" s="1">
        <v>0</v>
      </c>
      <c r="L801" s="2">
        <v>2</v>
      </c>
      <c r="M801" s="1">
        <f t="shared" si="455"/>
        <v>7000000</v>
      </c>
      <c r="N801" s="1">
        <v>0</v>
      </c>
      <c r="O801" s="1">
        <v>0</v>
      </c>
      <c r="P801" s="1">
        <v>0</v>
      </c>
      <c r="Q801" s="1">
        <f t="shared" si="456"/>
        <v>0</v>
      </c>
      <c r="R801" s="1">
        <v>0</v>
      </c>
      <c r="S801" s="1">
        <f t="shared" si="457"/>
        <v>0</v>
      </c>
      <c r="T801" s="1">
        <v>0</v>
      </c>
      <c r="U801" s="1">
        <v>200000</v>
      </c>
      <c r="V801" s="1">
        <v>0</v>
      </c>
      <c r="W801" s="1">
        <v>0</v>
      </c>
      <c r="X801" s="1">
        <v>0</v>
      </c>
      <c r="Y801" s="1">
        <v>0</v>
      </c>
      <c r="Z801" s="1">
        <v>0</v>
      </c>
      <c r="AA801" s="1">
        <v>0</v>
      </c>
      <c r="AB801" s="1">
        <v>0</v>
      </c>
      <c r="AC801" s="1">
        <v>0</v>
      </c>
      <c r="AD801" s="1">
        <v>0</v>
      </c>
    </row>
    <row r="802" spans="1:30" s="20" customFormat="1" ht="36" customHeight="1" x14ac:dyDescent="0.25">
      <c r="A802" s="2">
        <f t="shared" si="396"/>
        <v>774</v>
      </c>
      <c r="B802" s="6">
        <f t="shared" si="453"/>
        <v>774</v>
      </c>
      <c r="C802" s="19" t="s">
        <v>2435</v>
      </c>
      <c r="D802" s="4">
        <f t="shared" si="458"/>
        <v>14200000</v>
      </c>
      <c r="E802" s="1">
        <f t="shared" si="454"/>
        <v>0</v>
      </c>
      <c r="F802" s="1">
        <v>0</v>
      </c>
      <c r="G802" s="1">
        <v>0</v>
      </c>
      <c r="H802" s="1">
        <v>0</v>
      </c>
      <c r="I802" s="1">
        <v>0</v>
      </c>
      <c r="J802" s="1">
        <v>0</v>
      </c>
      <c r="K802" s="1">
        <v>0</v>
      </c>
      <c r="L802" s="2">
        <v>4</v>
      </c>
      <c r="M802" s="1">
        <f t="shared" si="455"/>
        <v>14000000</v>
      </c>
      <c r="N802" s="1">
        <v>0</v>
      </c>
      <c r="O802" s="1">
        <v>0</v>
      </c>
      <c r="P802" s="1">
        <v>0</v>
      </c>
      <c r="Q802" s="1">
        <f t="shared" si="456"/>
        <v>0</v>
      </c>
      <c r="R802" s="1">
        <v>0</v>
      </c>
      <c r="S802" s="1">
        <f t="shared" si="457"/>
        <v>0</v>
      </c>
      <c r="T802" s="1">
        <v>0</v>
      </c>
      <c r="U802" s="1">
        <v>200000</v>
      </c>
      <c r="V802" s="1">
        <v>0</v>
      </c>
      <c r="W802" s="1">
        <v>0</v>
      </c>
      <c r="X802" s="1">
        <v>0</v>
      </c>
      <c r="Y802" s="1">
        <v>0</v>
      </c>
      <c r="Z802" s="1">
        <v>0</v>
      </c>
      <c r="AA802" s="1">
        <v>0</v>
      </c>
      <c r="AB802" s="1">
        <v>0</v>
      </c>
      <c r="AC802" s="1">
        <v>0</v>
      </c>
      <c r="AD802" s="1">
        <v>0</v>
      </c>
    </row>
    <row r="803" spans="1:30" s="20" customFormat="1" ht="36" customHeight="1" x14ac:dyDescent="0.25">
      <c r="A803" s="2">
        <f t="shared" si="396"/>
        <v>775</v>
      </c>
      <c r="B803" s="6">
        <f t="shared" si="453"/>
        <v>775</v>
      </c>
      <c r="C803" s="19" t="s">
        <v>2336</v>
      </c>
      <c r="D803" s="4">
        <f t="shared" si="458"/>
        <v>14200000</v>
      </c>
      <c r="E803" s="1">
        <f t="shared" si="454"/>
        <v>0</v>
      </c>
      <c r="F803" s="1">
        <v>0</v>
      </c>
      <c r="G803" s="1">
        <v>0</v>
      </c>
      <c r="H803" s="1">
        <v>0</v>
      </c>
      <c r="I803" s="1">
        <v>0</v>
      </c>
      <c r="J803" s="1">
        <v>0</v>
      </c>
      <c r="K803" s="1">
        <v>0</v>
      </c>
      <c r="L803" s="2">
        <v>4</v>
      </c>
      <c r="M803" s="1">
        <f t="shared" si="455"/>
        <v>14000000</v>
      </c>
      <c r="N803" s="1">
        <v>0</v>
      </c>
      <c r="O803" s="1">
        <v>0</v>
      </c>
      <c r="P803" s="1">
        <v>0</v>
      </c>
      <c r="Q803" s="1">
        <f t="shared" si="456"/>
        <v>0</v>
      </c>
      <c r="R803" s="1">
        <v>0</v>
      </c>
      <c r="S803" s="1">
        <f t="shared" si="457"/>
        <v>0</v>
      </c>
      <c r="T803" s="1">
        <v>0</v>
      </c>
      <c r="U803" s="1">
        <v>200000</v>
      </c>
      <c r="V803" s="1">
        <v>0</v>
      </c>
      <c r="W803" s="1">
        <v>0</v>
      </c>
      <c r="X803" s="1">
        <v>0</v>
      </c>
      <c r="Y803" s="1">
        <v>0</v>
      </c>
      <c r="Z803" s="1">
        <v>0</v>
      </c>
      <c r="AA803" s="1">
        <v>0</v>
      </c>
      <c r="AB803" s="1">
        <v>0</v>
      </c>
      <c r="AC803" s="1">
        <v>0</v>
      </c>
      <c r="AD803" s="1">
        <v>0</v>
      </c>
    </row>
    <row r="804" spans="1:30" s="20" customFormat="1" ht="36" customHeight="1" x14ac:dyDescent="0.25">
      <c r="A804" s="2">
        <f t="shared" si="396"/>
        <v>776</v>
      </c>
      <c r="B804" s="6">
        <f t="shared" si="453"/>
        <v>776</v>
      </c>
      <c r="C804" s="19" t="s">
        <v>2337</v>
      </c>
      <c r="D804" s="4">
        <f t="shared" si="458"/>
        <v>31700000</v>
      </c>
      <c r="E804" s="1">
        <f t="shared" si="454"/>
        <v>0</v>
      </c>
      <c r="F804" s="1">
        <v>0</v>
      </c>
      <c r="G804" s="1">
        <v>0</v>
      </c>
      <c r="H804" s="1">
        <v>0</v>
      </c>
      <c r="I804" s="1">
        <v>0</v>
      </c>
      <c r="J804" s="1">
        <v>0</v>
      </c>
      <c r="K804" s="1">
        <v>0</v>
      </c>
      <c r="L804" s="2">
        <v>9</v>
      </c>
      <c r="M804" s="1">
        <f t="shared" si="455"/>
        <v>31500000</v>
      </c>
      <c r="N804" s="1">
        <v>0</v>
      </c>
      <c r="O804" s="1">
        <v>0</v>
      </c>
      <c r="P804" s="1">
        <v>0</v>
      </c>
      <c r="Q804" s="1">
        <f t="shared" si="456"/>
        <v>0</v>
      </c>
      <c r="R804" s="1">
        <v>0</v>
      </c>
      <c r="S804" s="1">
        <f t="shared" si="457"/>
        <v>0</v>
      </c>
      <c r="T804" s="1">
        <v>0</v>
      </c>
      <c r="U804" s="1">
        <v>200000</v>
      </c>
      <c r="V804" s="1">
        <v>0</v>
      </c>
      <c r="W804" s="1">
        <v>0</v>
      </c>
      <c r="X804" s="1">
        <v>0</v>
      </c>
      <c r="Y804" s="1">
        <v>0</v>
      </c>
      <c r="Z804" s="1">
        <v>0</v>
      </c>
      <c r="AA804" s="1">
        <v>0</v>
      </c>
      <c r="AB804" s="1">
        <v>0</v>
      </c>
      <c r="AC804" s="1">
        <v>0</v>
      </c>
      <c r="AD804" s="1">
        <v>0</v>
      </c>
    </row>
    <row r="805" spans="1:30" s="20" customFormat="1" ht="36" customHeight="1" x14ac:dyDescent="0.25">
      <c r="A805" s="2">
        <f t="shared" si="396"/>
        <v>777</v>
      </c>
      <c r="B805" s="6">
        <f t="shared" si="453"/>
        <v>777</v>
      </c>
      <c r="C805" s="19" t="s">
        <v>2338</v>
      </c>
      <c r="D805" s="4">
        <f t="shared" si="458"/>
        <v>21200000</v>
      </c>
      <c r="E805" s="1">
        <f t="shared" si="454"/>
        <v>0</v>
      </c>
      <c r="F805" s="1">
        <v>0</v>
      </c>
      <c r="G805" s="1">
        <v>0</v>
      </c>
      <c r="H805" s="1">
        <v>0</v>
      </c>
      <c r="I805" s="1">
        <v>0</v>
      </c>
      <c r="J805" s="1">
        <v>0</v>
      </c>
      <c r="K805" s="1">
        <v>0</v>
      </c>
      <c r="L805" s="2">
        <v>6</v>
      </c>
      <c r="M805" s="1">
        <f t="shared" si="455"/>
        <v>21000000</v>
      </c>
      <c r="N805" s="1">
        <v>0</v>
      </c>
      <c r="O805" s="1">
        <v>0</v>
      </c>
      <c r="P805" s="1">
        <v>0</v>
      </c>
      <c r="Q805" s="1">
        <f t="shared" si="456"/>
        <v>0</v>
      </c>
      <c r="R805" s="1">
        <v>0</v>
      </c>
      <c r="S805" s="1">
        <f t="shared" si="457"/>
        <v>0</v>
      </c>
      <c r="T805" s="1">
        <v>0</v>
      </c>
      <c r="U805" s="1">
        <v>200000</v>
      </c>
      <c r="V805" s="1">
        <v>0</v>
      </c>
      <c r="W805" s="1">
        <v>0</v>
      </c>
      <c r="X805" s="1">
        <v>0</v>
      </c>
      <c r="Y805" s="1">
        <v>0</v>
      </c>
      <c r="Z805" s="1">
        <v>0</v>
      </c>
      <c r="AA805" s="1">
        <v>0</v>
      </c>
      <c r="AB805" s="1">
        <v>0</v>
      </c>
      <c r="AC805" s="1">
        <v>0</v>
      </c>
      <c r="AD805" s="1">
        <v>0</v>
      </c>
    </row>
    <row r="806" spans="1:30" s="20" customFormat="1" ht="36" customHeight="1" x14ac:dyDescent="0.25">
      <c r="A806" s="2">
        <f t="shared" si="396"/>
        <v>778</v>
      </c>
      <c r="B806" s="6">
        <f t="shared" si="453"/>
        <v>778</v>
      </c>
      <c r="C806" s="19" t="s">
        <v>2339</v>
      </c>
      <c r="D806" s="4">
        <f t="shared" si="458"/>
        <v>17700000</v>
      </c>
      <c r="E806" s="1">
        <f t="shared" si="454"/>
        <v>0</v>
      </c>
      <c r="F806" s="1">
        <v>0</v>
      </c>
      <c r="G806" s="1">
        <v>0</v>
      </c>
      <c r="H806" s="1">
        <v>0</v>
      </c>
      <c r="I806" s="1">
        <v>0</v>
      </c>
      <c r="J806" s="1">
        <v>0</v>
      </c>
      <c r="K806" s="1">
        <v>0</v>
      </c>
      <c r="L806" s="2">
        <v>5</v>
      </c>
      <c r="M806" s="1">
        <f t="shared" si="455"/>
        <v>17500000</v>
      </c>
      <c r="N806" s="1">
        <v>0</v>
      </c>
      <c r="O806" s="1">
        <v>0</v>
      </c>
      <c r="P806" s="1">
        <v>0</v>
      </c>
      <c r="Q806" s="1">
        <f t="shared" si="456"/>
        <v>0</v>
      </c>
      <c r="R806" s="1">
        <v>0</v>
      </c>
      <c r="S806" s="1">
        <f t="shared" si="457"/>
        <v>0</v>
      </c>
      <c r="T806" s="1">
        <v>0</v>
      </c>
      <c r="U806" s="1">
        <v>200000</v>
      </c>
      <c r="V806" s="1">
        <v>0</v>
      </c>
      <c r="W806" s="1">
        <v>0</v>
      </c>
      <c r="X806" s="1">
        <v>0</v>
      </c>
      <c r="Y806" s="1">
        <v>0</v>
      </c>
      <c r="Z806" s="1">
        <v>0</v>
      </c>
      <c r="AA806" s="1">
        <v>0</v>
      </c>
      <c r="AB806" s="1">
        <v>0</v>
      </c>
      <c r="AC806" s="1">
        <v>0</v>
      </c>
      <c r="AD806" s="1">
        <v>0</v>
      </c>
    </row>
    <row r="807" spans="1:30" s="20" customFormat="1" ht="36" customHeight="1" x14ac:dyDescent="0.25">
      <c r="A807" s="2">
        <f t="shared" si="396"/>
        <v>779</v>
      </c>
      <c r="B807" s="6">
        <f t="shared" si="453"/>
        <v>779</v>
      </c>
      <c r="C807" s="19" t="s">
        <v>2340</v>
      </c>
      <c r="D807" s="4">
        <f t="shared" si="458"/>
        <v>14200000</v>
      </c>
      <c r="E807" s="1">
        <f t="shared" si="454"/>
        <v>0</v>
      </c>
      <c r="F807" s="1">
        <v>0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2">
        <v>4</v>
      </c>
      <c r="M807" s="1">
        <f t="shared" si="455"/>
        <v>14000000</v>
      </c>
      <c r="N807" s="1">
        <v>0</v>
      </c>
      <c r="O807" s="1">
        <v>0</v>
      </c>
      <c r="P807" s="1">
        <v>0</v>
      </c>
      <c r="Q807" s="1">
        <f t="shared" si="456"/>
        <v>0</v>
      </c>
      <c r="R807" s="1">
        <v>0</v>
      </c>
      <c r="S807" s="1">
        <f t="shared" si="457"/>
        <v>0</v>
      </c>
      <c r="T807" s="1">
        <v>0</v>
      </c>
      <c r="U807" s="1">
        <v>200000</v>
      </c>
      <c r="V807" s="1">
        <v>0</v>
      </c>
      <c r="W807" s="1">
        <v>0</v>
      </c>
      <c r="X807" s="1">
        <v>0</v>
      </c>
      <c r="Y807" s="1">
        <v>0</v>
      </c>
      <c r="Z807" s="1">
        <v>0</v>
      </c>
      <c r="AA807" s="1">
        <v>0</v>
      </c>
      <c r="AB807" s="1">
        <v>0</v>
      </c>
      <c r="AC807" s="1">
        <v>0</v>
      </c>
      <c r="AD807" s="1">
        <v>0</v>
      </c>
    </row>
    <row r="808" spans="1:30" s="20" customFormat="1" ht="36" customHeight="1" x14ac:dyDescent="0.25">
      <c r="A808" s="2">
        <f t="shared" si="396"/>
        <v>780</v>
      </c>
      <c r="B808" s="6">
        <f t="shared" si="453"/>
        <v>780</v>
      </c>
      <c r="C808" s="19" t="s">
        <v>2341</v>
      </c>
      <c r="D808" s="4">
        <f t="shared" si="458"/>
        <v>17700000</v>
      </c>
      <c r="E808" s="1">
        <f t="shared" si="454"/>
        <v>0</v>
      </c>
      <c r="F808" s="1">
        <v>0</v>
      </c>
      <c r="G808" s="1">
        <v>0</v>
      </c>
      <c r="H808" s="1">
        <v>0</v>
      </c>
      <c r="I808" s="1">
        <v>0</v>
      </c>
      <c r="J808" s="1">
        <v>0</v>
      </c>
      <c r="K808" s="1">
        <v>0</v>
      </c>
      <c r="L808" s="2">
        <v>5</v>
      </c>
      <c r="M808" s="1">
        <f t="shared" si="455"/>
        <v>17500000</v>
      </c>
      <c r="N808" s="1">
        <v>0</v>
      </c>
      <c r="O808" s="1">
        <v>0</v>
      </c>
      <c r="P808" s="1">
        <v>0</v>
      </c>
      <c r="Q808" s="1">
        <f t="shared" si="456"/>
        <v>0</v>
      </c>
      <c r="R808" s="1">
        <v>0</v>
      </c>
      <c r="S808" s="1">
        <f t="shared" si="457"/>
        <v>0</v>
      </c>
      <c r="T808" s="1">
        <v>0</v>
      </c>
      <c r="U808" s="1">
        <v>200000</v>
      </c>
      <c r="V808" s="1">
        <v>0</v>
      </c>
      <c r="W808" s="1">
        <v>0</v>
      </c>
      <c r="X808" s="1">
        <v>0</v>
      </c>
      <c r="Y808" s="1">
        <v>0</v>
      </c>
      <c r="Z808" s="1">
        <v>0</v>
      </c>
      <c r="AA808" s="1">
        <v>0</v>
      </c>
      <c r="AB808" s="1">
        <v>0</v>
      </c>
      <c r="AC808" s="1">
        <v>0</v>
      </c>
      <c r="AD808" s="1">
        <v>0</v>
      </c>
    </row>
    <row r="809" spans="1:30" s="20" customFormat="1" ht="36" customHeight="1" x14ac:dyDescent="0.25">
      <c r="A809" s="2">
        <f t="shared" si="396"/>
        <v>781</v>
      </c>
      <c r="B809" s="6">
        <f t="shared" si="453"/>
        <v>781</v>
      </c>
      <c r="C809" s="19" t="s">
        <v>2342</v>
      </c>
      <c r="D809" s="4">
        <f t="shared" si="458"/>
        <v>7200000</v>
      </c>
      <c r="E809" s="1">
        <f t="shared" si="454"/>
        <v>0</v>
      </c>
      <c r="F809" s="1">
        <v>0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2">
        <v>2</v>
      </c>
      <c r="M809" s="1">
        <f t="shared" si="455"/>
        <v>7000000</v>
      </c>
      <c r="N809" s="1">
        <v>0</v>
      </c>
      <c r="O809" s="1">
        <v>0</v>
      </c>
      <c r="P809" s="1">
        <v>0</v>
      </c>
      <c r="Q809" s="1">
        <f t="shared" si="456"/>
        <v>0</v>
      </c>
      <c r="R809" s="1">
        <v>0</v>
      </c>
      <c r="S809" s="1">
        <f t="shared" si="457"/>
        <v>0</v>
      </c>
      <c r="T809" s="1">
        <v>0</v>
      </c>
      <c r="U809" s="1">
        <v>200000</v>
      </c>
      <c r="V809" s="1">
        <v>0</v>
      </c>
      <c r="W809" s="1">
        <v>0</v>
      </c>
      <c r="X809" s="1">
        <v>0</v>
      </c>
      <c r="Y809" s="1">
        <v>0</v>
      </c>
      <c r="Z809" s="1">
        <v>0</v>
      </c>
      <c r="AA809" s="1">
        <v>0</v>
      </c>
      <c r="AB809" s="1">
        <v>0</v>
      </c>
      <c r="AC809" s="1">
        <v>0</v>
      </c>
      <c r="AD809" s="1">
        <v>0</v>
      </c>
    </row>
    <row r="810" spans="1:30" s="20" customFormat="1" ht="36" customHeight="1" x14ac:dyDescent="0.25">
      <c r="A810" s="2">
        <f t="shared" si="396"/>
        <v>782</v>
      </c>
      <c r="B810" s="6">
        <f t="shared" si="453"/>
        <v>782</v>
      </c>
      <c r="C810" s="19" t="s">
        <v>2343</v>
      </c>
      <c r="D810" s="4">
        <f t="shared" si="458"/>
        <v>7200000</v>
      </c>
      <c r="E810" s="1">
        <f t="shared" si="454"/>
        <v>0</v>
      </c>
      <c r="F810" s="1">
        <v>0</v>
      </c>
      <c r="G810" s="1">
        <v>0</v>
      </c>
      <c r="H810" s="1">
        <v>0</v>
      </c>
      <c r="I810" s="1">
        <v>0</v>
      </c>
      <c r="J810" s="1">
        <v>0</v>
      </c>
      <c r="K810" s="1">
        <v>0</v>
      </c>
      <c r="L810" s="2">
        <v>2</v>
      </c>
      <c r="M810" s="1">
        <f t="shared" si="455"/>
        <v>7000000</v>
      </c>
      <c r="N810" s="1">
        <v>0</v>
      </c>
      <c r="O810" s="1">
        <v>0</v>
      </c>
      <c r="P810" s="1">
        <v>0</v>
      </c>
      <c r="Q810" s="1">
        <f t="shared" si="456"/>
        <v>0</v>
      </c>
      <c r="R810" s="1">
        <v>0</v>
      </c>
      <c r="S810" s="1">
        <f t="shared" si="457"/>
        <v>0</v>
      </c>
      <c r="T810" s="1">
        <v>0</v>
      </c>
      <c r="U810" s="1">
        <v>200000</v>
      </c>
      <c r="V810" s="1">
        <v>0</v>
      </c>
      <c r="W810" s="1">
        <v>0</v>
      </c>
      <c r="X810" s="1">
        <v>0</v>
      </c>
      <c r="Y810" s="1">
        <v>0</v>
      </c>
      <c r="Z810" s="1">
        <v>0</v>
      </c>
      <c r="AA810" s="1">
        <v>0</v>
      </c>
      <c r="AB810" s="1">
        <v>0</v>
      </c>
      <c r="AC810" s="1">
        <v>0</v>
      </c>
      <c r="AD810" s="1">
        <v>0</v>
      </c>
    </row>
    <row r="811" spans="1:30" s="20" customFormat="1" ht="36" customHeight="1" x14ac:dyDescent="0.25">
      <c r="A811" s="2">
        <f t="shared" si="396"/>
        <v>783</v>
      </c>
      <c r="B811" s="6">
        <f t="shared" si="453"/>
        <v>783</v>
      </c>
      <c r="C811" s="19" t="s">
        <v>2344</v>
      </c>
      <c r="D811" s="4">
        <f t="shared" si="458"/>
        <v>17700000</v>
      </c>
      <c r="E811" s="1">
        <f t="shared" si="454"/>
        <v>0</v>
      </c>
      <c r="F811" s="1">
        <v>0</v>
      </c>
      <c r="G811" s="1">
        <v>0</v>
      </c>
      <c r="H811" s="1">
        <v>0</v>
      </c>
      <c r="I811" s="1">
        <v>0</v>
      </c>
      <c r="J811" s="1">
        <v>0</v>
      </c>
      <c r="K811" s="1">
        <v>0</v>
      </c>
      <c r="L811" s="2">
        <v>5</v>
      </c>
      <c r="M811" s="1">
        <f t="shared" si="455"/>
        <v>17500000</v>
      </c>
      <c r="N811" s="1">
        <v>0</v>
      </c>
      <c r="O811" s="1">
        <v>0</v>
      </c>
      <c r="P811" s="1">
        <v>0</v>
      </c>
      <c r="Q811" s="1">
        <f t="shared" si="456"/>
        <v>0</v>
      </c>
      <c r="R811" s="1">
        <v>0</v>
      </c>
      <c r="S811" s="1">
        <f t="shared" si="457"/>
        <v>0</v>
      </c>
      <c r="T811" s="1">
        <v>0</v>
      </c>
      <c r="U811" s="1">
        <v>200000</v>
      </c>
      <c r="V811" s="1">
        <v>0</v>
      </c>
      <c r="W811" s="1">
        <v>0</v>
      </c>
      <c r="X811" s="1">
        <v>0</v>
      </c>
      <c r="Y811" s="1">
        <v>0</v>
      </c>
      <c r="Z811" s="1">
        <v>0</v>
      </c>
      <c r="AA811" s="1">
        <v>0</v>
      </c>
      <c r="AB811" s="1">
        <v>0</v>
      </c>
      <c r="AC811" s="1">
        <v>0</v>
      </c>
      <c r="AD811" s="1">
        <v>0</v>
      </c>
    </row>
    <row r="812" spans="1:30" s="20" customFormat="1" ht="36" customHeight="1" x14ac:dyDescent="0.25">
      <c r="A812" s="2">
        <f t="shared" ref="A812:A906" si="459">ROW()-ROW($A$11)-17</f>
        <v>784</v>
      </c>
      <c r="B812" s="6">
        <f t="shared" si="405"/>
        <v>784</v>
      </c>
      <c r="C812" s="19" t="s">
        <v>460</v>
      </c>
      <c r="D812" s="4">
        <f t="shared" si="458"/>
        <v>3208525</v>
      </c>
      <c r="E812" s="1">
        <f t="shared" si="379"/>
        <v>1533105.0000000002</v>
      </c>
      <c r="F812" s="1">
        <f>804*390.6</f>
        <v>314042.40000000002</v>
      </c>
      <c r="G812" s="1">
        <f>1693*390.6</f>
        <v>661285.80000000005</v>
      </c>
      <c r="H812" s="1">
        <f>390*390.6</f>
        <v>152334</v>
      </c>
      <c r="I812" s="1">
        <f>571*390.6</f>
        <v>223032.6</v>
      </c>
      <c r="J812" s="1">
        <f>467*390.6</f>
        <v>182410.2</v>
      </c>
      <c r="K812" s="1">
        <v>0</v>
      </c>
      <c r="L812" s="2">
        <v>0</v>
      </c>
      <c r="M812" s="1">
        <f t="shared" si="381"/>
        <v>0</v>
      </c>
      <c r="N812" s="1">
        <v>0</v>
      </c>
      <c r="O812" s="1">
        <v>0</v>
      </c>
      <c r="P812" s="1">
        <v>0</v>
      </c>
      <c r="Q812" s="1">
        <f t="shared" si="377"/>
        <v>0</v>
      </c>
      <c r="R812" s="1">
        <v>420</v>
      </c>
      <c r="S812" s="1">
        <f t="shared" si="378"/>
        <v>1575420</v>
      </c>
      <c r="T812" s="1">
        <v>0</v>
      </c>
      <c r="U812" s="1">
        <v>50000</v>
      </c>
      <c r="V812" s="1">
        <v>0</v>
      </c>
      <c r="W812" s="1">
        <v>50000</v>
      </c>
      <c r="X812" s="1">
        <v>0</v>
      </c>
      <c r="Y812" s="1">
        <v>0</v>
      </c>
      <c r="Z812" s="1">
        <v>0</v>
      </c>
      <c r="AA812" s="1">
        <v>0</v>
      </c>
      <c r="AB812" s="1">
        <v>0</v>
      </c>
      <c r="AC812" s="1">
        <v>0</v>
      </c>
      <c r="AD812" s="1">
        <v>0</v>
      </c>
    </row>
    <row r="813" spans="1:30" s="20" customFormat="1" ht="36" customHeight="1" x14ac:dyDescent="0.25">
      <c r="A813" s="2">
        <f t="shared" si="396"/>
        <v>785</v>
      </c>
      <c r="B813" s="6">
        <f>A813</f>
        <v>785</v>
      </c>
      <c r="C813" s="19" t="s">
        <v>2351</v>
      </c>
      <c r="D813" s="4">
        <f t="shared" si="458"/>
        <v>10700000</v>
      </c>
      <c r="E813" s="1">
        <f>SUM(F813:K813)</f>
        <v>0</v>
      </c>
      <c r="F813" s="1">
        <v>0</v>
      </c>
      <c r="G813" s="1">
        <v>0</v>
      </c>
      <c r="H813" s="1">
        <v>0</v>
      </c>
      <c r="I813" s="1">
        <v>0</v>
      </c>
      <c r="J813" s="1">
        <v>0</v>
      </c>
      <c r="K813" s="1">
        <v>0</v>
      </c>
      <c r="L813" s="2">
        <v>3</v>
      </c>
      <c r="M813" s="1">
        <f>L813*3500000</f>
        <v>10500000</v>
      </c>
      <c r="N813" s="1">
        <v>0</v>
      </c>
      <c r="O813" s="1">
        <v>0</v>
      </c>
      <c r="P813" s="1">
        <v>0</v>
      </c>
      <c r="Q813" s="1">
        <f>P813*1400</f>
        <v>0</v>
      </c>
      <c r="R813" s="1">
        <v>0</v>
      </c>
      <c r="S813" s="1">
        <f>R813*3751</f>
        <v>0</v>
      </c>
      <c r="T813" s="1">
        <v>0</v>
      </c>
      <c r="U813" s="1">
        <v>200000</v>
      </c>
      <c r="V813" s="1">
        <v>0</v>
      </c>
      <c r="W813" s="1">
        <v>0</v>
      </c>
      <c r="X813" s="1">
        <v>0</v>
      </c>
      <c r="Y813" s="1">
        <v>0</v>
      </c>
      <c r="Z813" s="1">
        <v>0</v>
      </c>
      <c r="AA813" s="1">
        <v>0</v>
      </c>
      <c r="AB813" s="1">
        <v>0</v>
      </c>
      <c r="AC813" s="1">
        <v>0</v>
      </c>
      <c r="AD813" s="1">
        <v>0</v>
      </c>
    </row>
    <row r="814" spans="1:30" s="20" customFormat="1" ht="36" customHeight="1" x14ac:dyDescent="0.25">
      <c r="A814" s="2">
        <f t="shared" si="459"/>
        <v>786</v>
      </c>
      <c r="B814" s="6">
        <f t="shared" ref="B814" si="460">A814</f>
        <v>786</v>
      </c>
      <c r="C814" s="19" t="s">
        <v>461</v>
      </c>
      <c r="D814" s="4">
        <f t="shared" si="458"/>
        <v>13882269.75</v>
      </c>
      <c r="E814" s="1">
        <f t="shared" ref="E814" si="461">SUM(F814:K814)</f>
        <v>8530869.75</v>
      </c>
      <c r="F814" s="1">
        <f>804*2173.47</f>
        <v>1747469.88</v>
      </c>
      <c r="G814" s="1">
        <f>1693*2173.47</f>
        <v>3679684.7099999995</v>
      </c>
      <c r="H814" s="1">
        <f>390*2173.47</f>
        <v>847653.29999999993</v>
      </c>
      <c r="I814" s="1">
        <f>571*2173.47</f>
        <v>1241051.3699999999</v>
      </c>
      <c r="J814" s="1">
        <f>467*2173.47</f>
        <v>1015010.4899999999</v>
      </c>
      <c r="K814" s="1">
        <v>0</v>
      </c>
      <c r="L814" s="2">
        <v>0</v>
      </c>
      <c r="M814" s="1">
        <f t="shared" ref="M814" si="462">L814*3500000</f>
        <v>0</v>
      </c>
      <c r="N814" s="1">
        <v>0</v>
      </c>
      <c r="O814" s="1">
        <v>0</v>
      </c>
      <c r="P814" s="1">
        <v>0</v>
      </c>
      <c r="Q814" s="1">
        <f t="shared" ref="Q814" si="463">P814*1400</f>
        <v>0</v>
      </c>
      <c r="R814" s="1">
        <v>1400</v>
      </c>
      <c r="S814" s="1">
        <f t="shared" ref="S814" si="464">R814*3751</f>
        <v>5251400</v>
      </c>
      <c r="T814" s="1">
        <v>0</v>
      </c>
      <c r="U814" s="1">
        <v>50000</v>
      </c>
      <c r="V814" s="1">
        <v>0</v>
      </c>
      <c r="W814" s="1">
        <v>50000</v>
      </c>
      <c r="X814" s="1">
        <v>0</v>
      </c>
      <c r="Y814" s="1">
        <v>0</v>
      </c>
      <c r="Z814" s="1">
        <v>0</v>
      </c>
      <c r="AA814" s="1">
        <v>0</v>
      </c>
      <c r="AB814" s="1">
        <v>0</v>
      </c>
      <c r="AC814" s="1">
        <v>0</v>
      </c>
      <c r="AD814" s="1">
        <v>0</v>
      </c>
    </row>
    <row r="815" spans="1:30" s="20" customFormat="1" ht="36" customHeight="1" x14ac:dyDescent="0.25">
      <c r="A815" s="2">
        <f t="shared" si="459"/>
        <v>787</v>
      </c>
      <c r="B815" s="6">
        <f t="shared" si="405"/>
        <v>787</v>
      </c>
      <c r="C815" s="19" t="s">
        <v>2225</v>
      </c>
      <c r="D815" s="4">
        <f t="shared" si="458"/>
        <v>19831318.5</v>
      </c>
      <c r="E815" s="1">
        <f t="shared" si="379"/>
        <v>7554918.5</v>
      </c>
      <c r="F815" s="1">
        <f>804*1924.82</f>
        <v>1547555.28</v>
      </c>
      <c r="G815" s="1">
        <f>1693*1924.82</f>
        <v>3258720.26</v>
      </c>
      <c r="H815" s="1">
        <f>390*1924.82</f>
        <v>750679.79999999993</v>
      </c>
      <c r="I815" s="1">
        <f>571*1924.82</f>
        <v>1099072.22</v>
      </c>
      <c r="J815" s="1">
        <f>467*1924.82</f>
        <v>898890.94</v>
      </c>
      <c r="K815" s="1">
        <v>0</v>
      </c>
      <c r="L815" s="2">
        <v>0</v>
      </c>
      <c r="M815" s="1">
        <f t="shared" si="381"/>
        <v>0</v>
      </c>
      <c r="N815" s="1">
        <v>900</v>
      </c>
      <c r="O815" s="1">
        <f>N815*7750</f>
        <v>6975000</v>
      </c>
      <c r="P815" s="1">
        <v>0</v>
      </c>
      <c r="Q815" s="1">
        <f t="shared" si="377"/>
        <v>0</v>
      </c>
      <c r="R815" s="1">
        <v>1400</v>
      </c>
      <c r="S815" s="1">
        <f t="shared" si="378"/>
        <v>5251400</v>
      </c>
      <c r="T815" s="1">
        <v>0</v>
      </c>
      <c r="U815" s="1">
        <v>50000</v>
      </c>
      <c r="V815" s="1">
        <v>0</v>
      </c>
      <c r="W815" s="1">
        <v>0</v>
      </c>
      <c r="X815" s="1">
        <v>0</v>
      </c>
      <c r="Y815" s="1">
        <v>0</v>
      </c>
      <c r="Z815" s="1">
        <v>0</v>
      </c>
      <c r="AA815" s="1">
        <v>0</v>
      </c>
      <c r="AB815" s="1">
        <v>0</v>
      </c>
      <c r="AC815" s="1">
        <v>0</v>
      </c>
      <c r="AD815" s="1">
        <v>0</v>
      </c>
    </row>
    <row r="816" spans="1:30" s="20" customFormat="1" ht="36" customHeight="1" x14ac:dyDescent="0.25">
      <c r="A816" s="2">
        <f t="shared" si="459"/>
        <v>788</v>
      </c>
      <c r="B816" s="6">
        <f>A816</f>
        <v>788</v>
      </c>
      <c r="C816" s="19" t="s">
        <v>1796</v>
      </c>
      <c r="D816" s="4">
        <f t="shared" si="458"/>
        <v>16730745.249999998</v>
      </c>
      <c r="E816" s="1">
        <f>SUM(F816:K816)</f>
        <v>12129545.249999998</v>
      </c>
      <c r="F816" s="1">
        <f>804*3090.33</f>
        <v>2484625.3199999998</v>
      </c>
      <c r="G816" s="1">
        <f>1693*3090.33</f>
        <v>5231928.6899999995</v>
      </c>
      <c r="H816" s="1">
        <f>390*3090.33</f>
        <v>1205228.7</v>
      </c>
      <c r="I816" s="1">
        <f>571*3090.33</f>
        <v>1764578.43</v>
      </c>
      <c r="J816" s="1">
        <f>467*3090.33</f>
        <v>1443184.1099999999</v>
      </c>
      <c r="K816" s="1">
        <v>0</v>
      </c>
      <c r="L816" s="2">
        <v>0</v>
      </c>
      <c r="M816" s="1">
        <f t="shared" ref="M816" si="465">L816*3500000</f>
        <v>0</v>
      </c>
      <c r="N816" s="1">
        <v>0</v>
      </c>
      <c r="O816" s="1">
        <v>0</v>
      </c>
      <c r="P816" s="1">
        <v>0</v>
      </c>
      <c r="Q816" s="1">
        <f>P816*1400</f>
        <v>0</v>
      </c>
      <c r="R816" s="1">
        <v>1200</v>
      </c>
      <c r="S816" s="1">
        <f>R816*3751</f>
        <v>4501200</v>
      </c>
      <c r="T816" s="1">
        <v>0</v>
      </c>
      <c r="U816" s="1">
        <v>50000</v>
      </c>
      <c r="V816" s="1">
        <v>0</v>
      </c>
      <c r="W816" s="1">
        <v>50000</v>
      </c>
      <c r="X816" s="1">
        <v>0</v>
      </c>
      <c r="Y816" s="1">
        <v>0</v>
      </c>
      <c r="Z816" s="1">
        <v>0</v>
      </c>
      <c r="AA816" s="1">
        <v>0</v>
      </c>
      <c r="AB816" s="1">
        <v>0</v>
      </c>
      <c r="AC816" s="1">
        <v>0</v>
      </c>
      <c r="AD816" s="1">
        <v>0</v>
      </c>
    </row>
    <row r="817" spans="1:30" s="20" customFormat="1" ht="36" customHeight="1" x14ac:dyDescent="0.25">
      <c r="A817" s="2">
        <f t="shared" si="459"/>
        <v>789</v>
      </c>
      <c r="B817" s="6">
        <f>A817</f>
        <v>789</v>
      </c>
      <c r="C817" s="19" t="s">
        <v>2354</v>
      </c>
      <c r="D817" s="4">
        <f t="shared" si="458"/>
        <v>7200000</v>
      </c>
      <c r="E817" s="1">
        <f>SUM(F817:K817)</f>
        <v>0</v>
      </c>
      <c r="F817" s="1">
        <v>0</v>
      </c>
      <c r="G817" s="1">
        <v>0</v>
      </c>
      <c r="H817" s="1">
        <v>0</v>
      </c>
      <c r="I817" s="1">
        <v>0</v>
      </c>
      <c r="J817" s="1">
        <v>0</v>
      </c>
      <c r="K817" s="1">
        <v>0</v>
      </c>
      <c r="L817" s="2">
        <v>2</v>
      </c>
      <c r="M817" s="1">
        <f>L817*3500000</f>
        <v>7000000</v>
      </c>
      <c r="N817" s="1">
        <v>0</v>
      </c>
      <c r="O817" s="1">
        <v>0</v>
      </c>
      <c r="P817" s="1">
        <v>0</v>
      </c>
      <c r="Q817" s="1">
        <f>P817*1400</f>
        <v>0</v>
      </c>
      <c r="R817" s="1">
        <v>0</v>
      </c>
      <c r="S817" s="1">
        <f>R817*3751</f>
        <v>0</v>
      </c>
      <c r="T817" s="1">
        <v>0</v>
      </c>
      <c r="U817" s="1">
        <v>200000</v>
      </c>
      <c r="V817" s="1">
        <v>0</v>
      </c>
      <c r="W817" s="1">
        <v>0</v>
      </c>
      <c r="X817" s="1">
        <v>0</v>
      </c>
      <c r="Y817" s="1">
        <v>0</v>
      </c>
      <c r="Z817" s="1">
        <v>0</v>
      </c>
      <c r="AA817" s="1">
        <v>0</v>
      </c>
      <c r="AB817" s="1">
        <v>0</v>
      </c>
      <c r="AC817" s="1">
        <v>0</v>
      </c>
      <c r="AD817" s="1">
        <v>0</v>
      </c>
    </row>
    <row r="818" spans="1:30" s="20" customFormat="1" ht="36" customHeight="1" x14ac:dyDescent="0.25">
      <c r="A818" s="2">
        <f t="shared" si="459"/>
        <v>790</v>
      </c>
      <c r="B818" s="6">
        <f>A818</f>
        <v>790</v>
      </c>
      <c r="C818" s="19" t="s">
        <v>2352</v>
      </c>
      <c r="D818" s="4">
        <f t="shared" si="458"/>
        <v>28200000</v>
      </c>
      <c r="E818" s="1">
        <f>SUM(F818:K818)</f>
        <v>0</v>
      </c>
      <c r="F818" s="1">
        <v>0</v>
      </c>
      <c r="G818" s="1">
        <v>0</v>
      </c>
      <c r="H818" s="1">
        <v>0</v>
      </c>
      <c r="I818" s="1">
        <v>0</v>
      </c>
      <c r="J818" s="1">
        <v>0</v>
      </c>
      <c r="K818" s="1">
        <v>0</v>
      </c>
      <c r="L818" s="2">
        <v>8</v>
      </c>
      <c r="M818" s="1">
        <f>L818*3500000</f>
        <v>28000000</v>
      </c>
      <c r="N818" s="1">
        <v>0</v>
      </c>
      <c r="O818" s="1">
        <v>0</v>
      </c>
      <c r="P818" s="1">
        <v>0</v>
      </c>
      <c r="Q818" s="1">
        <f>P818*1400</f>
        <v>0</v>
      </c>
      <c r="R818" s="1">
        <v>0</v>
      </c>
      <c r="S818" s="1">
        <f>R818*3751</f>
        <v>0</v>
      </c>
      <c r="T818" s="1">
        <v>0</v>
      </c>
      <c r="U818" s="1">
        <v>200000</v>
      </c>
      <c r="V818" s="1">
        <v>0</v>
      </c>
      <c r="W818" s="1">
        <v>0</v>
      </c>
      <c r="X818" s="1">
        <v>0</v>
      </c>
      <c r="Y818" s="1">
        <v>0</v>
      </c>
      <c r="Z818" s="1">
        <v>0</v>
      </c>
      <c r="AA818" s="1">
        <v>0</v>
      </c>
      <c r="AB818" s="1">
        <v>0</v>
      </c>
      <c r="AC818" s="1">
        <v>0</v>
      </c>
      <c r="AD818" s="1">
        <v>0</v>
      </c>
    </row>
    <row r="819" spans="1:30" s="20" customFormat="1" ht="36" customHeight="1" x14ac:dyDescent="0.25">
      <c r="A819" s="2">
        <f t="shared" si="459"/>
        <v>791</v>
      </c>
      <c r="B819" s="6">
        <f>A819</f>
        <v>791</v>
      </c>
      <c r="C819" s="19" t="s">
        <v>2353</v>
      </c>
      <c r="D819" s="4">
        <f t="shared" si="458"/>
        <v>7200000</v>
      </c>
      <c r="E819" s="1">
        <f>SUM(F819:K819)</f>
        <v>0</v>
      </c>
      <c r="F819" s="1">
        <v>0</v>
      </c>
      <c r="G819" s="1">
        <v>0</v>
      </c>
      <c r="H819" s="1">
        <v>0</v>
      </c>
      <c r="I819" s="1">
        <v>0</v>
      </c>
      <c r="J819" s="1">
        <v>0</v>
      </c>
      <c r="K819" s="1">
        <v>0</v>
      </c>
      <c r="L819" s="2">
        <v>2</v>
      </c>
      <c r="M819" s="1">
        <f>L819*3500000</f>
        <v>7000000</v>
      </c>
      <c r="N819" s="1">
        <v>0</v>
      </c>
      <c r="O819" s="1">
        <v>0</v>
      </c>
      <c r="P819" s="1">
        <v>0</v>
      </c>
      <c r="Q819" s="1">
        <f>P819*1400</f>
        <v>0</v>
      </c>
      <c r="R819" s="1">
        <v>0</v>
      </c>
      <c r="S819" s="1">
        <f>R819*3751</f>
        <v>0</v>
      </c>
      <c r="T819" s="1">
        <v>0</v>
      </c>
      <c r="U819" s="1">
        <v>200000</v>
      </c>
      <c r="V819" s="1">
        <v>0</v>
      </c>
      <c r="W819" s="1">
        <v>0</v>
      </c>
      <c r="X819" s="1">
        <v>0</v>
      </c>
      <c r="Y819" s="1">
        <v>0</v>
      </c>
      <c r="Z819" s="1">
        <v>0</v>
      </c>
      <c r="AA819" s="1">
        <v>0</v>
      </c>
      <c r="AB819" s="1">
        <v>0</v>
      </c>
      <c r="AC819" s="1">
        <v>0</v>
      </c>
      <c r="AD819" s="1">
        <v>0</v>
      </c>
    </row>
    <row r="820" spans="1:30" s="20" customFormat="1" ht="36" customHeight="1" x14ac:dyDescent="0.25">
      <c r="A820" s="2">
        <f t="shared" si="459"/>
        <v>792</v>
      </c>
      <c r="B820" s="6">
        <f t="shared" si="405"/>
        <v>792</v>
      </c>
      <c r="C820" s="19" t="s">
        <v>462</v>
      </c>
      <c r="D820" s="4">
        <f t="shared" si="458"/>
        <v>4271677.5</v>
      </c>
      <c r="E820" s="1">
        <f t="shared" si="379"/>
        <v>2221157.4999999995</v>
      </c>
      <c r="F820" s="1">
        <f>804*565.9</f>
        <v>454983.6</v>
      </c>
      <c r="G820" s="1">
        <f>1693*565.9</f>
        <v>958068.7</v>
      </c>
      <c r="H820" s="1">
        <f>390*565.9</f>
        <v>220701</v>
      </c>
      <c r="I820" s="1">
        <f>571*565.9</f>
        <v>323128.89999999997</v>
      </c>
      <c r="J820" s="1">
        <f>467*565.9</f>
        <v>264275.3</v>
      </c>
      <c r="K820" s="1">
        <v>0</v>
      </c>
      <c r="L820" s="2">
        <v>0</v>
      </c>
      <c r="M820" s="1">
        <f t="shared" si="381"/>
        <v>0</v>
      </c>
      <c r="N820" s="1">
        <v>0</v>
      </c>
      <c r="O820" s="1">
        <v>0</v>
      </c>
      <c r="P820" s="1">
        <v>0</v>
      </c>
      <c r="Q820" s="1">
        <f t="shared" si="377"/>
        <v>0</v>
      </c>
      <c r="R820" s="1">
        <v>520</v>
      </c>
      <c r="S820" s="1">
        <f t="shared" si="378"/>
        <v>1950520</v>
      </c>
      <c r="T820" s="1">
        <v>0</v>
      </c>
      <c r="U820" s="1">
        <v>50000</v>
      </c>
      <c r="V820" s="1">
        <v>0</v>
      </c>
      <c r="W820" s="1">
        <v>50000</v>
      </c>
      <c r="X820" s="1">
        <v>0</v>
      </c>
      <c r="Y820" s="1">
        <v>0</v>
      </c>
      <c r="Z820" s="1">
        <v>0</v>
      </c>
      <c r="AA820" s="1">
        <v>0</v>
      </c>
      <c r="AB820" s="1">
        <v>0</v>
      </c>
      <c r="AC820" s="1">
        <v>0</v>
      </c>
      <c r="AD820" s="1">
        <v>0</v>
      </c>
    </row>
    <row r="821" spans="1:30" s="20" customFormat="1" ht="36" customHeight="1" x14ac:dyDescent="0.25">
      <c r="A821" s="2">
        <f t="shared" si="459"/>
        <v>793</v>
      </c>
      <c r="B821" s="6">
        <f t="shared" si="405"/>
        <v>793</v>
      </c>
      <c r="C821" s="19" t="s">
        <v>463</v>
      </c>
      <c r="D821" s="4">
        <f t="shared" si="458"/>
        <v>2574925</v>
      </c>
      <c r="E821" s="1">
        <f t="shared" si="379"/>
        <v>1049545</v>
      </c>
      <c r="F821" s="1">
        <f>804*267.4</f>
        <v>214989.59999999998</v>
      </c>
      <c r="G821" s="1">
        <f>1693*267.4</f>
        <v>452708.19999999995</v>
      </c>
      <c r="H821" s="1">
        <f>390*267.4</f>
        <v>104285.99999999999</v>
      </c>
      <c r="I821" s="1">
        <f>571*267.4</f>
        <v>152685.4</v>
      </c>
      <c r="J821" s="1">
        <f>467*267.4</f>
        <v>124875.79999999999</v>
      </c>
      <c r="K821" s="1">
        <v>0</v>
      </c>
      <c r="L821" s="2">
        <v>0</v>
      </c>
      <c r="M821" s="1">
        <f t="shared" si="381"/>
        <v>0</v>
      </c>
      <c r="N821" s="1">
        <v>0</v>
      </c>
      <c r="O821" s="1">
        <v>0</v>
      </c>
      <c r="P821" s="1">
        <v>0</v>
      </c>
      <c r="Q821" s="1">
        <f t="shared" si="377"/>
        <v>0</v>
      </c>
      <c r="R821" s="1">
        <v>380</v>
      </c>
      <c r="S821" s="1">
        <f t="shared" si="378"/>
        <v>1425380</v>
      </c>
      <c r="T821" s="1">
        <v>0</v>
      </c>
      <c r="U821" s="1">
        <v>50000</v>
      </c>
      <c r="V821" s="1">
        <v>0</v>
      </c>
      <c r="W821" s="1">
        <v>50000</v>
      </c>
      <c r="X821" s="1">
        <v>0</v>
      </c>
      <c r="Y821" s="1">
        <v>0</v>
      </c>
      <c r="Z821" s="1">
        <v>0</v>
      </c>
      <c r="AA821" s="1">
        <v>0</v>
      </c>
      <c r="AB821" s="1">
        <v>0</v>
      </c>
      <c r="AC821" s="1">
        <v>0</v>
      </c>
      <c r="AD821" s="1">
        <v>0</v>
      </c>
    </row>
    <row r="822" spans="1:30" s="20" customFormat="1" ht="36" customHeight="1" x14ac:dyDescent="0.25">
      <c r="A822" s="2">
        <f t="shared" si="459"/>
        <v>794</v>
      </c>
      <c r="B822" s="6">
        <f t="shared" si="405"/>
        <v>794</v>
      </c>
      <c r="C822" s="19" t="s">
        <v>464</v>
      </c>
      <c r="D822" s="4">
        <f t="shared" si="458"/>
        <v>2557262.5</v>
      </c>
      <c r="E822" s="1">
        <f t="shared" si="379"/>
        <v>1031882.5</v>
      </c>
      <c r="F822" s="1">
        <f>804*262.9</f>
        <v>211371.59999999998</v>
      </c>
      <c r="G822" s="1">
        <f>1693*262.9</f>
        <v>445089.69999999995</v>
      </c>
      <c r="H822" s="1">
        <f>390*262.9</f>
        <v>102530.99999999999</v>
      </c>
      <c r="I822" s="1">
        <f>571*262.9</f>
        <v>150115.9</v>
      </c>
      <c r="J822" s="1">
        <f>467*262.9</f>
        <v>122774.29999999999</v>
      </c>
      <c r="K822" s="1">
        <v>0</v>
      </c>
      <c r="L822" s="2">
        <v>0</v>
      </c>
      <c r="M822" s="1">
        <f t="shared" si="381"/>
        <v>0</v>
      </c>
      <c r="N822" s="1">
        <v>0</v>
      </c>
      <c r="O822" s="1">
        <v>0</v>
      </c>
      <c r="P822" s="1">
        <v>0</v>
      </c>
      <c r="Q822" s="1">
        <f t="shared" si="377"/>
        <v>0</v>
      </c>
      <c r="R822" s="1">
        <v>380</v>
      </c>
      <c r="S822" s="1">
        <f t="shared" si="378"/>
        <v>1425380</v>
      </c>
      <c r="T822" s="1">
        <v>0</v>
      </c>
      <c r="U822" s="1">
        <v>50000</v>
      </c>
      <c r="V822" s="1">
        <v>0</v>
      </c>
      <c r="W822" s="1">
        <v>50000</v>
      </c>
      <c r="X822" s="1">
        <v>0</v>
      </c>
      <c r="Y822" s="1">
        <v>0</v>
      </c>
      <c r="Z822" s="1">
        <v>0</v>
      </c>
      <c r="AA822" s="1">
        <v>0</v>
      </c>
      <c r="AB822" s="1">
        <v>0</v>
      </c>
      <c r="AC822" s="1">
        <v>0</v>
      </c>
      <c r="AD822" s="1">
        <v>0</v>
      </c>
    </row>
    <row r="823" spans="1:30" s="20" customFormat="1" ht="36" customHeight="1" x14ac:dyDescent="0.25">
      <c r="A823" s="2">
        <f t="shared" si="459"/>
        <v>795</v>
      </c>
      <c r="B823" s="6">
        <f t="shared" si="405"/>
        <v>795</v>
      </c>
      <c r="C823" s="19" t="s">
        <v>465</v>
      </c>
      <c r="D823" s="4">
        <f t="shared" si="458"/>
        <v>3324835</v>
      </c>
      <c r="E823" s="1">
        <f t="shared" si="379"/>
        <v>2024515</v>
      </c>
      <c r="F823" s="1">
        <f>804*515.8</f>
        <v>414703.19999999995</v>
      </c>
      <c r="G823" s="1">
        <f>1693*515.8</f>
        <v>873249.39999999991</v>
      </c>
      <c r="H823" s="1">
        <f>390*515.8</f>
        <v>201161.99999999997</v>
      </c>
      <c r="I823" s="1">
        <f>571*515.8</f>
        <v>294521.8</v>
      </c>
      <c r="J823" s="1">
        <f>467*515.8</f>
        <v>240878.59999999998</v>
      </c>
      <c r="K823" s="1">
        <v>0</v>
      </c>
      <c r="L823" s="2">
        <v>0</v>
      </c>
      <c r="M823" s="1">
        <f t="shared" si="381"/>
        <v>0</v>
      </c>
      <c r="N823" s="1">
        <v>0</v>
      </c>
      <c r="O823" s="1">
        <v>0</v>
      </c>
      <c r="P823" s="1">
        <v>0</v>
      </c>
      <c r="Q823" s="1">
        <f t="shared" ref="Q823:Q934" si="466">P823*1400</f>
        <v>0</v>
      </c>
      <c r="R823" s="1">
        <v>320</v>
      </c>
      <c r="S823" s="1">
        <f t="shared" ref="S823:S934" si="467">R823*3751</f>
        <v>1200320</v>
      </c>
      <c r="T823" s="1">
        <v>0</v>
      </c>
      <c r="U823" s="1">
        <v>50000</v>
      </c>
      <c r="V823" s="1">
        <v>0</v>
      </c>
      <c r="W823" s="1">
        <v>50000</v>
      </c>
      <c r="X823" s="1">
        <v>0</v>
      </c>
      <c r="Y823" s="1">
        <v>0</v>
      </c>
      <c r="Z823" s="1">
        <v>0</v>
      </c>
      <c r="AA823" s="1">
        <v>0</v>
      </c>
      <c r="AB823" s="1">
        <v>0</v>
      </c>
      <c r="AC823" s="1">
        <v>0</v>
      </c>
      <c r="AD823" s="1">
        <v>0</v>
      </c>
    </row>
    <row r="824" spans="1:30" s="20" customFormat="1" ht="36" customHeight="1" x14ac:dyDescent="0.25">
      <c r="A824" s="2">
        <f t="shared" si="459"/>
        <v>796</v>
      </c>
      <c r="B824" s="6">
        <f>A824</f>
        <v>796</v>
      </c>
      <c r="C824" s="19" t="s">
        <v>468</v>
      </c>
      <c r="D824" s="4">
        <f t="shared" si="458"/>
        <v>3416910.5</v>
      </c>
      <c r="E824" s="1">
        <f>SUM(F824:K824)</f>
        <v>2011562.5</v>
      </c>
      <c r="F824" s="1">
        <f>804*512.5</f>
        <v>412050</v>
      </c>
      <c r="G824" s="1">
        <f>1693*512.5</f>
        <v>867662.5</v>
      </c>
      <c r="H824" s="1">
        <f>390*512.5</f>
        <v>199875</v>
      </c>
      <c r="I824" s="1">
        <f>571*512.5</f>
        <v>292637.5</v>
      </c>
      <c r="J824" s="1">
        <f>467*512.5</f>
        <v>239337.5</v>
      </c>
      <c r="K824" s="1">
        <v>0</v>
      </c>
      <c r="L824" s="2">
        <v>0</v>
      </c>
      <c r="M824" s="1">
        <f>L824*3500000</f>
        <v>0</v>
      </c>
      <c r="N824" s="1">
        <v>0</v>
      </c>
      <c r="O824" s="1">
        <v>0</v>
      </c>
      <c r="P824" s="1">
        <v>0</v>
      </c>
      <c r="Q824" s="1">
        <f>P824*1400</f>
        <v>0</v>
      </c>
      <c r="R824" s="1">
        <v>348</v>
      </c>
      <c r="S824" s="1">
        <f>R824*3751</f>
        <v>1305348</v>
      </c>
      <c r="T824" s="1">
        <v>0</v>
      </c>
      <c r="U824" s="1">
        <v>50000</v>
      </c>
      <c r="V824" s="1">
        <v>0</v>
      </c>
      <c r="W824" s="1">
        <v>50000</v>
      </c>
      <c r="X824" s="1">
        <v>0</v>
      </c>
      <c r="Y824" s="1">
        <v>0</v>
      </c>
      <c r="Z824" s="1">
        <v>0</v>
      </c>
      <c r="AA824" s="1">
        <v>0</v>
      </c>
      <c r="AB824" s="1">
        <v>0</v>
      </c>
      <c r="AC824" s="1">
        <v>0</v>
      </c>
      <c r="AD824" s="1">
        <v>0</v>
      </c>
    </row>
    <row r="825" spans="1:30" s="20" customFormat="1" ht="36" customHeight="1" x14ac:dyDescent="0.25">
      <c r="A825" s="2">
        <f t="shared" si="459"/>
        <v>797</v>
      </c>
      <c r="B825" s="6">
        <f>A825</f>
        <v>797</v>
      </c>
      <c r="C825" s="19" t="s">
        <v>469</v>
      </c>
      <c r="D825" s="4">
        <f t="shared" si="458"/>
        <v>3375297.5</v>
      </c>
      <c r="E825" s="1">
        <f>SUM(F825:K825)</f>
        <v>2037467.5000000002</v>
      </c>
      <c r="F825" s="1">
        <f>804*519.1</f>
        <v>417356.4</v>
      </c>
      <c r="G825" s="1">
        <f>1693*519.1</f>
        <v>878836.3</v>
      </c>
      <c r="H825" s="1">
        <f>390*519.1</f>
        <v>202449</v>
      </c>
      <c r="I825" s="1">
        <f>571*519.1</f>
        <v>296406.10000000003</v>
      </c>
      <c r="J825" s="1">
        <f>467*519.1</f>
        <v>242419.7</v>
      </c>
      <c r="K825" s="1">
        <v>0</v>
      </c>
      <c r="L825" s="2">
        <v>0</v>
      </c>
      <c r="M825" s="1">
        <f>L825*3500000</f>
        <v>0</v>
      </c>
      <c r="N825" s="1">
        <v>0</v>
      </c>
      <c r="O825" s="1">
        <v>0</v>
      </c>
      <c r="P825" s="1">
        <v>0</v>
      </c>
      <c r="Q825" s="1">
        <f>P825*1400</f>
        <v>0</v>
      </c>
      <c r="R825" s="1">
        <v>330</v>
      </c>
      <c r="S825" s="1">
        <f>R825*3751</f>
        <v>1237830</v>
      </c>
      <c r="T825" s="1">
        <v>0</v>
      </c>
      <c r="U825" s="1">
        <v>50000</v>
      </c>
      <c r="V825" s="1">
        <v>0</v>
      </c>
      <c r="W825" s="1">
        <v>50000</v>
      </c>
      <c r="X825" s="1">
        <v>0</v>
      </c>
      <c r="Y825" s="1">
        <v>0</v>
      </c>
      <c r="Z825" s="1">
        <v>0</v>
      </c>
      <c r="AA825" s="1">
        <v>0</v>
      </c>
      <c r="AB825" s="1">
        <v>0</v>
      </c>
      <c r="AC825" s="1">
        <v>0</v>
      </c>
      <c r="AD825" s="1">
        <v>0</v>
      </c>
    </row>
    <row r="826" spans="1:30" s="20" customFormat="1" ht="36" customHeight="1" x14ac:dyDescent="0.25">
      <c r="A826" s="2">
        <f t="shared" si="459"/>
        <v>798</v>
      </c>
      <c r="B826" s="6">
        <f>A826</f>
        <v>798</v>
      </c>
      <c r="C826" s="19" t="s">
        <v>470</v>
      </c>
      <c r="D826" s="4">
        <f t="shared" si="458"/>
        <v>3296797.5</v>
      </c>
      <c r="E826" s="1">
        <f>SUM(F826:K826)</f>
        <v>1958967.5000000002</v>
      </c>
      <c r="F826" s="1">
        <f>804*499.1</f>
        <v>401276.4</v>
      </c>
      <c r="G826" s="1">
        <f>1693*499.1</f>
        <v>844976.3</v>
      </c>
      <c r="H826" s="1">
        <f>390*499.1</f>
        <v>194649</v>
      </c>
      <c r="I826" s="1">
        <f>571*499.1</f>
        <v>284986.10000000003</v>
      </c>
      <c r="J826" s="1">
        <f>467*499.1</f>
        <v>233079.7</v>
      </c>
      <c r="K826" s="1">
        <v>0</v>
      </c>
      <c r="L826" s="2">
        <v>0</v>
      </c>
      <c r="M826" s="1">
        <f>L826*3500000</f>
        <v>0</v>
      </c>
      <c r="N826" s="1">
        <v>0</v>
      </c>
      <c r="O826" s="1">
        <v>0</v>
      </c>
      <c r="P826" s="1">
        <v>0</v>
      </c>
      <c r="Q826" s="1">
        <f>P826*1400</f>
        <v>0</v>
      </c>
      <c r="R826" s="1">
        <v>330</v>
      </c>
      <c r="S826" s="1">
        <f>R826*3751</f>
        <v>1237830</v>
      </c>
      <c r="T826" s="1">
        <v>0</v>
      </c>
      <c r="U826" s="1">
        <v>50000</v>
      </c>
      <c r="V826" s="1">
        <v>0</v>
      </c>
      <c r="W826" s="1">
        <v>50000</v>
      </c>
      <c r="X826" s="1">
        <v>0</v>
      </c>
      <c r="Y826" s="1">
        <v>0</v>
      </c>
      <c r="Z826" s="1">
        <v>0</v>
      </c>
      <c r="AA826" s="1">
        <v>0</v>
      </c>
      <c r="AB826" s="1">
        <v>0</v>
      </c>
      <c r="AC826" s="1">
        <v>0</v>
      </c>
      <c r="AD826" s="1">
        <v>0</v>
      </c>
    </row>
    <row r="827" spans="1:30" s="20" customFormat="1" ht="36" customHeight="1" x14ac:dyDescent="0.25">
      <c r="A827" s="2">
        <f t="shared" si="459"/>
        <v>799</v>
      </c>
      <c r="B827" s="2">
        <f t="shared" si="405"/>
        <v>799</v>
      </c>
      <c r="C827" s="19" t="s">
        <v>466</v>
      </c>
      <c r="D827" s="39">
        <f t="shared" si="458"/>
        <v>3296719</v>
      </c>
      <c r="E827" s="1">
        <f t="shared" ref="E827:E935" si="468">SUM(F827:K827)</f>
        <v>1958889</v>
      </c>
      <c r="F827" s="1">
        <f>804*499.08</f>
        <v>401260.32</v>
      </c>
      <c r="G827" s="1">
        <f>1693*499.08</f>
        <v>844942.44</v>
      </c>
      <c r="H827" s="1">
        <f>390*499.08</f>
        <v>194641.19999999998</v>
      </c>
      <c r="I827" s="1">
        <f>571*499.08</f>
        <v>284974.68</v>
      </c>
      <c r="J827" s="1">
        <f>467*499.08</f>
        <v>233070.36</v>
      </c>
      <c r="K827" s="1">
        <v>0</v>
      </c>
      <c r="L827" s="2">
        <v>0</v>
      </c>
      <c r="M827" s="1">
        <f t="shared" si="381"/>
        <v>0</v>
      </c>
      <c r="N827" s="1">
        <v>0</v>
      </c>
      <c r="O827" s="1">
        <v>0</v>
      </c>
      <c r="P827" s="1">
        <v>0</v>
      </c>
      <c r="Q827" s="1">
        <f t="shared" si="466"/>
        <v>0</v>
      </c>
      <c r="R827" s="1">
        <v>330</v>
      </c>
      <c r="S827" s="1">
        <f t="shared" si="467"/>
        <v>1237830</v>
      </c>
      <c r="T827" s="1">
        <v>0</v>
      </c>
      <c r="U827" s="1">
        <v>50000</v>
      </c>
      <c r="V827" s="1">
        <v>0</v>
      </c>
      <c r="W827" s="1">
        <v>50000</v>
      </c>
      <c r="X827" s="1">
        <v>0</v>
      </c>
      <c r="Y827" s="1">
        <v>0</v>
      </c>
      <c r="Z827" s="1">
        <v>0</v>
      </c>
      <c r="AA827" s="1">
        <v>0</v>
      </c>
      <c r="AB827" s="1">
        <v>0</v>
      </c>
      <c r="AC827" s="1">
        <v>0</v>
      </c>
      <c r="AD827" s="1">
        <v>0</v>
      </c>
    </row>
    <row r="828" spans="1:30" s="20" customFormat="1" ht="36" customHeight="1" x14ac:dyDescent="0.25">
      <c r="A828" s="2">
        <f t="shared" si="459"/>
        <v>800</v>
      </c>
      <c r="B828" s="2">
        <f t="shared" si="405"/>
        <v>800</v>
      </c>
      <c r="C828" s="19" t="s">
        <v>467</v>
      </c>
      <c r="D828" s="39">
        <f t="shared" si="458"/>
        <v>6418653</v>
      </c>
      <c r="E828" s="1">
        <f t="shared" si="468"/>
        <v>1601073</v>
      </c>
      <c r="F828" s="1">
        <v>0</v>
      </c>
      <c r="G828" s="1">
        <f>1693*513</f>
        <v>868509</v>
      </c>
      <c r="H828" s="1">
        <f>390*513</f>
        <v>200070</v>
      </c>
      <c r="I828" s="1">
        <f>571*513</f>
        <v>292923</v>
      </c>
      <c r="J828" s="1">
        <f>467*513</f>
        <v>239571</v>
      </c>
      <c r="K828" s="1">
        <v>0</v>
      </c>
      <c r="L828" s="2">
        <v>0</v>
      </c>
      <c r="M828" s="1">
        <f t="shared" ref="M828:M943" si="469">L828*3500000</f>
        <v>0</v>
      </c>
      <c r="N828" s="1">
        <v>449</v>
      </c>
      <c r="O828" s="1">
        <f>N828*7750</f>
        <v>3479750</v>
      </c>
      <c r="P828" s="1">
        <v>0</v>
      </c>
      <c r="Q828" s="1">
        <f t="shared" si="466"/>
        <v>0</v>
      </c>
      <c r="R828" s="1">
        <v>330</v>
      </c>
      <c r="S828" s="1">
        <f t="shared" si="467"/>
        <v>1237830</v>
      </c>
      <c r="T828" s="1">
        <v>0</v>
      </c>
      <c r="U828" s="1">
        <v>50000</v>
      </c>
      <c r="V828" s="1">
        <v>0</v>
      </c>
      <c r="W828" s="1">
        <v>50000</v>
      </c>
      <c r="X828" s="1">
        <v>0</v>
      </c>
      <c r="Y828" s="1">
        <v>0</v>
      </c>
      <c r="Z828" s="1">
        <v>0</v>
      </c>
      <c r="AA828" s="1">
        <v>0</v>
      </c>
      <c r="AB828" s="1">
        <v>0</v>
      </c>
      <c r="AC828" s="1">
        <v>0</v>
      </c>
      <c r="AD828" s="1">
        <v>0</v>
      </c>
    </row>
    <row r="829" spans="1:30" s="20" customFormat="1" ht="36" customHeight="1" x14ac:dyDescent="0.25">
      <c r="A829" s="2">
        <f t="shared" si="459"/>
        <v>801</v>
      </c>
      <c r="B829" s="6">
        <f t="shared" si="405"/>
        <v>801</v>
      </c>
      <c r="C829" s="19" t="s">
        <v>1011</v>
      </c>
      <c r="D829" s="4">
        <f t="shared" si="458"/>
        <v>5675480</v>
      </c>
      <c r="E829" s="1">
        <f t="shared" si="468"/>
        <v>0</v>
      </c>
      <c r="F829" s="1">
        <v>0</v>
      </c>
      <c r="G829" s="1">
        <v>0</v>
      </c>
      <c r="H829" s="1">
        <v>0</v>
      </c>
      <c r="I829" s="1">
        <v>0</v>
      </c>
      <c r="J829" s="1">
        <v>0</v>
      </c>
      <c r="K829" s="1">
        <v>0</v>
      </c>
      <c r="L829" s="2">
        <v>0</v>
      </c>
      <c r="M829" s="1">
        <v>0</v>
      </c>
      <c r="N829" s="1">
        <v>500</v>
      </c>
      <c r="O829" s="1">
        <f>N829*7750</f>
        <v>3875000</v>
      </c>
      <c r="P829" s="1">
        <v>0</v>
      </c>
      <c r="Q829" s="1">
        <f>P829*1400</f>
        <v>0</v>
      </c>
      <c r="R829" s="1">
        <v>480</v>
      </c>
      <c r="S829" s="1">
        <f t="shared" si="467"/>
        <v>1800480</v>
      </c>
      <c r="T829" s="1">
        <v>0</v>
      </c>
      <c r="U829" s="1">
        <v>0</v>
      </c>
      <c r="V829" s="1">
        <v>0</v>
      </c>
      <c r="W829" s="1">
        <v>0</v>
      </c>
      <c r="X829" s="1">
        <v>0</v>
      </c>
      <c r="Y829" s="1">
        <v>0</v>
      </c>
      <c r="Z829" s="1">
        <v>0</v>
      </c>
      <c r="AA829" s="1">
        <v>0</v>
      </c>
      <c r="AB829" s="1">
        <v>0</v>
      </c>
      <c r="AC829" s="1">
        <v>0</v>
      </c>
      <c r="AD829" s="1">
        <v>0</v>
      </c>
    </row>
    <row r="830" spans="1:30" s="20" customFormat="1" ht="36" customHeight="1" x14ac:dyDescent="0.25">
      <c r="A830" s="2">
        <f t="shared" si="459"/>
        <v>802</v>
      </c>
      <c r="B830" s="6">
        <f t="shared" si="405"/>
        <v>802</v>
      </c>
      <c r="C830" s="19" t="s">
        <v>1013</v>
      </c>
      <c r="D830" s="4">
        <f t="shared" si="458"/>
        <v>5675480</v>
      </c>
      <c r="E830" s="1">
        <f t="shared" si="468"/>
        <v>0</v>
      </c>
      <c r="F830" s="1">
        <v>0</v>
      </c>
      <c r="G830" s="1">
        <v>0</v>
      </c>
      <c r="H830" s="1">
        <v>0</v>
      </c>
      <c r="I830" s="1">
        <v>0</v>
      </c>
      <c r="J830" s="1">
        <v>0</v>
      </c>
      <c r="K830" s="1">
        <v>0</v>
      </c>
      <c r="L830" s="2">
        <v>0</v>
      </c>
      <c r="M830" s="1">
        <v>0</v>
      </c>
      <c r="N830" s="1">
        <v>500</v>
      </c>
      <c r="O830" s="1">
        <f>N830*7750</f>
        <v>3875000</v>
      </c>
      <c r="P830" s="1">
        <v>0</v>
      </c>
      <c r="Q830" s="1">
        <f>P830*1400</f>
        <v>0</v>
      </c>
      <c r="R830" s="1">
        <v>480</v>
      </c>
      <c r="S830" s="1">
        <f t="shared" si="467"/>
        <v>1800480</v>
      </c>
      <c r="T830" s="1">
        <v>0</v>
      </c>
      <c r="U830" s="1">
        <v>0</v>
      </c>
      <c r="V830" s="1">
        <v>0</v>
      </c>
      <c r="W830" s="1">
        <v>0</v>
      </c>
      <c r="X830" s="1">
        <v>0</v>
      </c>
      <c r="Y830" s="1">
        <v>0</v>
      </c>
      <c r="Z830" s="1">
        <v>0</v>
      </c>
      <c r="AA830" s="1">
        <v>0</v>
      </c>
      <c r="AB830" s="1">
        <v>0</v>
      </c>
      <c r="AC830" s="1">
        <v>0</v>
      </c>
      <c r="AD830" s="1">
        <v>0</v>
      </c>
    </row>
    <row r="831" spans="1:30" s="20" customFormat="1" ht="36" customHeight="1" x14ac:dyDescent="0.25">
      <c r="A831" s="2">
        <f t="shared" si="459"/>
        <v>803</v>
      </c>
      <c r="B831" s="6">
        <f t="shared" si="405"/>
        <v>803</v>
      </c>
      <c r="C831" s="19" t="s">
        <v>1014</v>
      </c>
      <c r="D831" s="4">
        <f t="shared" si="458"/>
        <v>5825520</v>
      </c>
      <c r="E831" s="1">
        <f t="shared" si="468"/>
        <v>0</v>
      </c>
      <c r="F831" s="1">
        <v>0</v>
      </c>
      <c r="G831" s="1">
        <v>0</v>
      </c>
      <c r="H831" s="1">
        <v>0</v>
      </c>
      <c r="I831" s="1">
        <v>0</v>
      </c>
      <c r="J831" s="1">
        <v>0</v>
      </c>
      <c r="K831" s="1">
        <v>0</v>
      </c>
      <c r="L831" s="2">
        <v>0</v>
      </c>
      <c r="M831" s="1">
        <v>0</v>
      </c>
      <c r="N831" s="1">
        <v>500</v>
      </c>
      <c r="O831" s="1">
        <f>N831*7750</f>
        <v>3875000</v>
      </c>
      <c r="P831" s="1">
        <v>0</v>
      </c>
      <c r="Q831" s="1">
        <f>P831*1400</f>
        <v>0</v>
      </c>
      <c r="R831" s="1">
        <v>520</v>
      </c>
      <c r="S831" s="1">
        <f t="shared" si="467"/>
        <v>1950520</v>
      </c>
      <c r="T831" s="1">
        <v>0</v>
      </c>
      <c r="U831" s="1">
        <v>0</v>
      </c>
      <c r="V831" s="1">
        <v>0</v>
      </c>
      <c r="W831" s="1">
        <v>0</v>
      </c>
      <c r="X831" s="1">
        <v>0</v>
      </c>
      <c r="Y831" s="1">
        <v>0</v>
      </c>
      <c r="Z831" s="1">
        <v>0</v>
      </c>
      <c r="AA831" s="1">
        <v>0</v>
      </c>
      <c r="AB831" s="1">
        <v>0</v>
      </c>
      <c r="AC831" s="1">
        <v>0</v>
      </c>
      <c r="AD831" s="1">
        <v>0</v>
      </c>
    </row>
    <row r="832" spans="1:30" s="20" customFormat="1" ht="36" customHeight="1" x14ac:dyDescent="0.25">
      <c r="A832" s="2">
        <f t="shared" si="459"/>
        <v>804</v>
      </c>
      <c r="B832" s="6">
        <f t="shared" si="405"/>
        <v>804</v>
      </c>
      <c r="C832" s="19" t="s">
        <v>471</v>
      </c>
      <c r="D832" s="4">
        <f t="shared" si="458"/>
        <v>4425040</v>
      </c>
      <c r="E832" s="1">
        <f t="shared" si="468"/>
        <v>2524560</v>
      </c>
      <c r="F832" s="1">
        <f>804*643.2</f>
        <v>517132.80000000005</v>
      </c>
      <c r="G832" s="1">
        <f>1693*643.2</f>
        <v>1088937.6000000001</v>
      </c>
      <c r="H832" s="1">
        <f>390*643.2</f>
        <v>250848.00000000003</v>
      </c>
      <c r="I832" s="1">
        <f>571*643.2</f>
        <v>367267.2</v>
      </c>
      <c r="J832" s="1">
        <f>467*643.2</f>
        <v>300374.40000000002</v>
      </c>
      <c r="K832" s="1">
        <v>0</v>
      </c>
      <c r="L832" s="2">
        <v>0</v>
      </c>
      <c r="M832" s="1">
        <f t="shared" si="469"/>
        <v>0</v>
      </c>
      <c r="N832" s="1">
        <v>0</v>
      </c>
      <c r="O832" s="1">
        <v>0</v>
      </c>
      <c r="P832" s="1">
        <v>0</v>
      </c>
      <c r="Q832" s="1">
        <f t="shared" si="466"/>
        <v>0</v>
      </c>
      <c r="R832" s="1">
        <v>480</v>
      </c>
      <c r="S832" s="1">
        <f t="shared" si="467"/>
        <v>1800480</v>
      </c>
      <c r="T832" s="1">
        <v>0</v>
      </c>
      <c r="U832" s="1">
        <v>50000</v>
      </c>
      <c r="V832" s="1">
        <v>0</v>
      </c>
      <c r="W832" s="1">
        <v>50000</v>
      </c>
      <c r="X832" s="1">
        <v>0</v>
      </c>
      <c r="Y832" s="1">
        <v>0</v>
      </c>
      <c r="Z832" s="1">
        <v>0</v>
      </c>
      <c r="AA832" s="1">
        <v>0</v>
      </c>
      <c r="AB832" s="1">
        <v>0</v>
      </c>
      <c r="AC832" s="1">
        <v>0</v>
      </c>
      <c r="AD832" s="1">
        <v>0</v>
      </c>
    </row>
    <row r="833" spans="1:30" s="20" customFormat="1" ht="36" customHeight="1" x14ac:dyDescent="0.25">
      <c r="A833" s="2">
        <f t="shared" si="459"/>
        <v>805</v>
      </c>
      <c r="B833" s="6">
        <f t="shared" si="405"/>
        <v>805</v>
      </c>
      <c r="C833" s="19" t="s">
        <v>473</v>
      </c>
      <c r="D833" s="4">
        <f t="shared" si="458"/>
        <v>2157392.1</v>
      </c>
      <c r="E833" s="1">
        <f t="shared" si="468"/>
        <v>907072.10000000009</v>
      </c>
      <c r="F833" s="1">
        <f>804*546.1</f>
        <v>439064.4</v>
      </c>
      <c r="G833" s="1">
        <v>0</v>
      </c>
      <c r="H833" s="1">
        <f>390*546.1</f>
        <v>212979</v>
      </c>
      <c r="I833" s="1">
        <v>0</v>
      </c>
      <c r="J833" s="1">
        <f>467*546.1</f>
        <v>255028.7</v>
      </c>
      <c r="K833" s="1">
        <v>0</v>
      </c>
      <c r="L833" s="2">
        <v>0</v>
      </c>
      <c r="M833" s="1">
        <f t="shared" si="469"/>
        <v>0</v>
      </c>
      <c r="N833" s="1">
        <v>0</v>
      </c>
      <c r="O833" s="1">
        <v>0</v>
      </c>
      <c r="P833" s="1">
        <v>0</v>
      </c>
      <c r="Q833" s="1">
        <f t="shared" si="466"/>
        <v>0</v>
      </c>
      <c r="R833" s="1">
        <v>320</v>
      </c>
      <c r="S833" s="1">
        <f t="shared" si="467"/>
        <v>1200320</v>
      </c>
      <c r="T833" s="1">
        <v>0</v>
      </c>
      <c r="U833" s="1">
        <v>50000</v>
      </c>
      <c r="V833" s="1">
        <v>0</v>
      </c>
      <c r="W833" s="1">
        <v>0</v>
      </c>
      <c r="X833" s="1">
        <v>0</v>
      </c>
      <c r="Y833" s="1">
        <v>0</v>
      </c>
      <c r="Z833" s="1">
        <v>0</v>
      </c>
      <c r="AA833" s="1">
        <v>0</v>
      </c>
      <c r="AB833" s="1">
        <v>0</v>
      </c>
      <c r="AC833" s="1">
        <v>0</v>
      </c>
      <c r="AD833" s="1">
        <v>0</v>
      </c>
    </row>
    <row r="834" spans="1:30" s="20" customFormat="1" ht="36" customHeight="1" x14ac:dyDescent="0.25">
      <c r="A834" s="2">
        <f t="shared" si="459"/>
        <v>806</v>
      </c>
      <c r="B834" s="6">
        <f t="shared" si="405"/>
        <v>806</v>
      </c>
      <c r="C834" s="19" t="s">
        <v>474</v>
      </c>
      <c r="D834" s="4">
        <f t="shared" si="458"/>
        <v>3286200</v>
      </c>
      <c r="E834" s="1">
        <f t="shared" si="468"/>
        <v>1948369.9999999998</v>
      </c>
      <c r="F834" s="1">
        <f>804*496.4</f>
        <v>399105.6</v>
      </c>
      <c r="G834" s="1">
        <f>1693*496.4</f>
        <v>840405.2</v>
      </c>
      <c r="H834" s="1">
        <f>390*496.4</f>
        <v>193596</v>
      </c>
      <c r="I834" s="1">
        <f>571*496.4</f>
        <v>283444.39999999997</v>
      </c>
      <c r="J834" s="1">
        <f>467*496.4</f>
        <v>231818.8</v>
      </c>
      <c r="K834" s="1">
        <v>0</v>
      </c>
      <c r="L834" s="2">
        <v>0</v>
      </c>
      <c r="M834" s="1">
        <f t="shared" si="469"/>
        <v>0</v>
      </c>
      <c r="N834" s="1">
        <v>0</v>
      </c>
      <c r="O834" s="1">
        <v>0</v>
      </c>
      <c r="P834" s="1">
        <v>0</v>
      </c>
      <c r="Q834" s="1">
        <f t="shared" si="466"/>
        <v>0</v>
      </c>
      <c r="R834" s="1">
        <v>330</v>
      </c>
      <c r="S834" s="1">
        <f t="shared" si="467"/>
        <v>1237830</v>
      </c>
      <c r="T834" s="1">
        <v>0</v>
      </c>
      <c r="U834" s="1">
        <v>50000</v>
      </c>
      <c r="V834" s="1">
        <v>0</v>
      </c>
      <c r="W834" s="1">
        <v>50000</v>
      </c>
      <c r="X834" s="1">
        <v>0</v>
      </c>
      <c r="Y834" s="1">
        <v>0</v>
      </c>
      <c r="Z834" s="1">
        <v>0</v>
      </c>
      <c r="AA834" s="1">
        <v>0</v>
      </c>
      <c r="AB834" s="1">
        <v>0</v>
      </c>
      <c r="AC834" s="1">
        <v>0</v>
      </c>
      <c r="AD834" s="1">
        <v>0</v>
      </c>
    </row>
    <row r="835" spans="1:30" s="20" customFormat="1" ht="36" customHeight="1" x14ac:dyDescent="0.25">
      <c r="A835" s="2">
        <f t="shared" si="459"/>
        <v>807</v>
      </c>
      <c r="B835" s="6">
        <f t="shared" si="405"/>
        <v>807</v>
      </c>
      <c r="C835" s="19" t="s">
        <v>475</v>
      </c>
      <c r="D835" s="4">
        <f t="shared" si="458"/>
        <v>3285087.4999999995</v>
      </c>
      <c r="E835" s="1">
        <f t="shared" si="468"/>
        <v>2134807.4999999995</v>
      </c>
      <c r="F835" s="1">
        <f>804*543.9</f>
        <v>437295.6</v>
      </c>
      <c r="G835" s="1">
        <f>1693*543.9</f>
        <v>920822.7</v>
      </c>
      <c r="H835" s="1">
        <f>390*543.9</f>
        <v>212121</v>
      </c>
      <c r="I835" s="1">
        <f>571*543.9</f>
        <v>310566.89999999997</v>
      </c>
      <c r="J835" s="1">
        <f>467*543.9</f>
        <v>254001.3</v>
      </c>
      <c r="K835" s="1">
        <v>0</v>
      </c>
      <c r="L835" s="2">
        <v>0</v>
      </c>
      <c r="M835" s="1">
        <f t="shared" si="469"/>
        <v>0</v>
      </c>
      <c r="N835" s="1">
        <v>0</v>
      </c>
      <c r="O835" s="1">
        <v>0</v>
      </c>
      <c r="P835" s="1">
        <v>0</v>
      </c>
      <c r="Q835" s="1">
        <f t="shared" si="466"/>
        <v>0</v>
      </c>
      <c r="R835" s="1">
        <v>280</v>
      </c>
      <c r="S835" s="1">
        <f t="shared" si="467"/>
        <v>1050280</v>
      </c>
      <c r="T835" s="1">
        <v>0</v>
      </c>
      <c r="U835" s="1">
        <v>50000</v>
      </c>
      <c r="V835" s="1">
        <v>0</v>
      </c>
      <c r="W835" s="1">
        <v>50000</v>
      </c>
      <c r="X835" s="1">
        <v>0</v>
      </c>
      <c r="Y835" s="1">
        <v>0</v>
      </c>
      <c r="Z835" s="1">
        <v>0</v>
      </c>
      <c r="AA835" s="1">
        <v>0</v>
      </c>
      <c r="AB835" s="1">
        <v>0</v>
      </c>
      <c r="AC835" s="1">
        <v>0</v>
      </c>
      <c r="AD835" s="1">
        <v>0</v>
      </c>
    </row>
    <row r="836" spans="1:30" s="20" customFormat="1" ht="36" customHeight="1" x14ac:dyDescent="0.25">
      <c r="A836" s="2">
        <f t="shared" si="459"/>
        <v>808</v>
      </c>
      <c r="B836" s="6">
        <f>A836</f>
        <v>808</v>
      </c>
      <c r="C836" s="19" t="s">
        <v>1024</v>
      </c>
      <c r="D836" s="4">
        <f t="shared" si="458"/>
        <v>29040901.500000004</v>
      </c>
      <c r="E836" s="1">
        <f>SUM(F836:K836)</f>
        <v>23585717.500000004</v>
      </c>
      <c r="F836" s="1">
        <f>804*6009.1</f>
        <v>4831316.4000000004</v>
      </c>
      <c r="G836" s="1">
        <f>1693*6009.1</f>
        <v>10173406.300000001</v>
      </c>
      <c r="H836" s="1">
        <f>390*6009.1</f>
        <v>2343549</v>
      </c>
      <c r="I836" s="1">
        <f>571*6009.1</f>
        <v>3431196.1</v>
      </c>
      <c r="J836" s="1">
        <f>467*6009.1</f>
        <v>2806249.7</v>
      </c>
      <c r="K836" s="1">
        <v>0</v>
      </c>
      <c r="L836" s="2">
        <v>0</v>
      </c>
      <c r="M836" s="1">
        <v>0</v>
      </c>
      <c r="N836" s="1">
        <v>1088</v>
      </c>
      <c r="O836" s="1">
        <f>N836*4968</f>
        <v>5405184</v>
      </c>
      <c r="P836" s="1">
        <v>0</v>
      </c>
      <c r="Q836" s="1">
        <f>P836*1400</f>
        <v>0</v>
      </c>
      <c r="R836" s="1">
        <v>0</v>
      </c>
      <c r="S836" s="1">
        <f>R836*3751</f>
        <v>0</v>
      </c>
      <c r="T836" s="1">
        <v>0</v>
      </c>
      <c r="U836" s="1">
        <v>50000</v>
      </c>
      <c r="V836" s="1">
        <v>0</v>
      </c>
      <c r="W836" s="1">
        <v>0</v>
      </c>
      <c r="X836" s="1">
        <v>0</v>
      </c>
      <c r="Y836" s="1">
        <v>0</v>
      </c>
      <c r="Z836" s="1">
        <v>0</v>
      </c>
      <c r="AA836" s="1">
        <v>0</v>
      </c>
      <c r="AB836" s="1">
        <v>0</v>
      </c>
      <c r="AC836" s="1">
        <v>0</v>
      </c>
      <c r="AD836" s="1">
        <v>0</v>
      </c>
    </row>
    <row r="837" spans="1:30" s="20" customFormat="1" ht="36" customHeight="1" x14ac:dyDescent="0.25">
      <c r="A837" s="2">
        <f t="shared" si="459"/>
        <v>809</v>
      </c>
      <c r="B837" s="6">
        <f>A837</f>
        <v>809</v>
      </c>
      <c r="C837" s="19" t="s">
        <v>1026</v>
      </c>
      <c r="D837" s="4">
        <f t="shared" si="458"/>
        <v>18686920.5</v>
      </c>
      <c r="E837" s="1">
        <f>SUM(F837:K837)</f>
        <v>18636920.5</v>
      </c>
      <c r="F837" s="1">
        <f>804*4748.26</f>
        <v>3817601.04</v>
      </c>
      <c r="G837" s="1">
        <f>1693*4748.26</f>
        <v>8038804.1800000006</v>
      </c>
      <c r="H837" s="1">
        <f>390*4748.26</f>
        <v>1851821.4000000001</v>
      </c>
      <c r="I837" s="1">
        <f>571*4748.26</f>
        <v>2711256.46</v>
      </c>
      <c r="J837" s="1">
        <f>467*4748.26</f>
        <v>2217437.42</v>
      </c>
      <c r="K837" s="1">
        <v>0</v>
      </c>
      <c r="L837" s="2">
        <v>0</v>
      </c>
      <c r="M837" s="1">
        <v>0</v>
      </c>
      <c r="N837" s="1">
        <v>0</v>
      </c>
      <c r="O837" s="1">
        <f>N837*4968</f>
        <v>0</v>
      </c>
      <c r="P837" s="1">
        <v>0</v>
      </c>
      <c r="Q837" s="1">
        <f>P837*1400</f>
        <v>0</v>
      </c>
      <c r="R837" s="1">
        <v>0</v>
      </c>
      <c r="S837" s="1">
        <f>R837*3751</f>
        <v>0</v>
      </c>
      <c r="T837" s="1">
        <v>0</v>
      </c>
      <c r="U837" s="1">
        <v>50000</v>
      </c>
      <c r="V837" s="1">
        <v>0</v>
      </c>
      <c r="W837" s="1">
        <v>0</v>
      </c>
      <c r="X837" s="1">
        <v>0</v>
      </c>
      <c r="Y837" s="1">
        <v>0</v>
      </c>
      <c r="Z837" s="1">
        <v>0</v>
      </c>
      <c r="AA837" s="1">
        <v>0</v>
      </c>
      <c r="AB837" s="1">
        <v>0</v>
      </c>
      <c r="AC837" s="1">
        <v>0</v>
      </c>
      <c r="AD837" s="1">
        <v>0</v>
      </c>
    </row>
    <row r="838" spans="1:30" s="20" customFormat="1" ht="36" customHeight="1" x14ac:dyDescent="0.25">
      <c r="A838" s="2">
        <f t="shared" si="459"/>
        <v>810</v>
      </c>
      <c r="B838" s="6">
        <f t="shared" si="405"/>
        <v>810</v>
      </c>
      <c r="C838" s="19" t="s">
        <v>1740</v>
      </c>
      <c r="D838" s="4">
        <f t="shared" si="458"/>
        <v>7200000</v>
      </c>
      <c r="E838" s="1">
        <f t="shared" si="468"/>
        <v>0</v>
      </c>
      <c r="F838" s="1">
        <v>0</v>
      </c>
      <c r="G838" s="1">
        <v>0</v>
      </c>
      <c r="H838" s="1">
        <v>0</v>
      </c>
      <c r="I838" s="1">
        <v>0</v>
      </c>
      <c r="J838" s="1">
        <v>0</v>
      </c>
      <c r="K838" s="1">
        <v>0</v>
      </c>
      <c r="L838" s="2">
        <v>2</v>
      </c>
      <c r="M838" s="1">
        <f t="shared" si="469"/>
        <v>7000000</v>
      </c>
      <c r="N838" s="1">
        <v>0</v>
      </c>
      <c r="O838" s="1">
        <v>0</v>
      </c>
      <c r="P838" s="1">
        <v>0</v>
      </c>
      <c r="Q838" s="1">
        <f t="shared" si="466"/>
        <v>0</v>
      </c>
      <c r="R838" s="1">
        <v>0</v>
      </c>
      <c r="S838" s="1">
        <f t="shared" si="467"/>
        <v>0</v>
      </c>
      <c r="T838" s="1">
        <v>0</v>
      </c>
      <c r="U838" s="1">
        <v>200000</v>
      </c>
      <c r="V838" s="1">
        <v>0</v>
      </c>
      <c r="W838" s="1">
        <v>0</v>
      </c>
      <c r="X838" s="1">
        <v>0</v>
      </c>
      <c r="Y838" s="1">
        <v>0</v>
      </c>
      <c r="Z838" s="1">
        <v>0</v>
      </c>
      <c r="AA838" s="1">
        <v>0</v>
      </c>
      <c r="AB838" s="1">
        <v>0</v>
      </c>
      <c r="AC838" s="1">
        <v>0</v>
      </c>
      <c r="AD838" s="1">
        <v>0</v>
      </c>
    </row>
    <row r="839" spans="1:30" s="20" customFormat="1" ht="36" customHeight="1" x14ac:dyDescent="0.25">
      <c r="A839" s="2">
        <f t="shared" si="459"/>
        <v>811</v>
      </c>
      <c r="B839" s="6">
        <f>A839</f>
        <v>811</v>
      </c>
      <c r="C839" s="19" t="s">
        <v>2355</v>
      </c>
      <c r="D839" s="4">
        <f t="shared" si="458"/>
        <v>7200000</v>
      </c>
      <c r="E839" s="1">
        <f>SUM(F839:K839)</f>
        <v>0</v>
      </c>
      <c r="F839" s="1">
        <v>0</v>
      </c>
      <c r="G839" s="1">
        <v>0</v>
      </c>
      <c r="H839" s="1">
        <v>0</v>
      </c>
      <c r="I839" s="1">
        <v>0</v>
      </c>
      <c r="J839" s="1">
        <v>0</v>
      </c>
      <c r="K839" s="1">
        <v>0</v>
      </c>
      <c r="L839" s="2">
        <v>2</v>
      </c>
      <c r="M839" s="1">
        <f>L839*3500000</f>
        <v>7000000</v>
      </c>
      <c r="N839" s="1">
        <v>0</v>
      </c>
      <c r="O839" s="1">
        <v>0</v>
      </c>
      <c r="P839" s="1">
        <v>0</v>
      </c>
      <c r="Q839" s="1">
        <f>P839*1400</f>
        <v>0</v>
      </c>
      <c r="R839" s="1">
        <v>0</v>
      </c>
      <c r="S839" s="1">
        <f>R839*3751</f>
        <v>0</v>
      </c>
      <c r="T839" s="1">
        <v>0</v>
      </c>
      <c r="U839" s="1">
        <v>200000</v>
      </c>
      <c r="V839" s="1">
        <v>0</v>
      </c>
      <c r="W839" s="1">
        <v>0</v>
      </c>
      <c r="X839" s="1">
        <v>0</v>
      </c>
      <c r="Y839" s="1">
        <v>0</v>
      </c>
      <c r="Z839" s="1">
        <v>0</v>
      </c>
      <c r="AA839" s="1">
        <v>0</v>
      </c>
      <c r="AB839" s="1">
        <v>0</v>
      </c>
      <c r="AC839" s="1">
        <v>0</v>
      </c>
      <c r="AD839" s="1">
        <v>0</v>
      </c>
    </row>
    <row r="840" spans="1:30" s="20" customFormat="1" ht="36" customHeight="1" x14ac:dyDescent="0.25">
      <c r="A840" s="2">
        <f t="shared" si="459"/>
        <v>812</v>
      </c>
      <c r="B840" s="6">
        <f>A840</f>
        <v>812</v>
      </c>
      <c r="C840" s="19" t="s">
        <v>2356</v>
      </c>
      <c r="D840" s="4">
        <f t="shared" si="458"/>
        <v>14200000</v>
      </c>
      <c r="E840" s="1">
        <f>SUM(F840:K840)</f>
        <v>0</v>
      </c>
      <c r="F840" s="1">
        <v>0</v>
      </c>
      <c r="G840" s="1">
        <v>0</v>
      </c>
      <c r="H840" s="1">
        <v>0</v>
      </c>
      <c r="I840" s="1">
        <v>0</v>
      </c>
      <c r="J840" s="1">
        <v>0</v>
      </c>
      <c r="K840" s="1">
        <v>0</v>
      </c>
      <c r="L840" s="2">
        <v>4</v>
      </c>
      <c r="M840" s="1">
        <f>L840*3500000</f>
        <v>14000000</v>
      </c>
      <c r="N840" s="1">
        <v>0</v>
      </c>
      <c r="O840" s="1">
        <v>0</v>
      </c>
      <c r="P840" s="1">
        <v>0</v>
      </c>
      <c r="Q840" s="1">
        <f>P840*1400</f>
        <v>0</v>
      </c>
      <c r="R840" s="1">
        <v>0</v>
      </c>
      <c r="S840" s="1">
        <f>R840*3751</f>
        <v>0</v>
      </c>
      <c r="T840" s="1">
        <v>0</v>
      </c>
      <c r="U840" s="1">
        <v>200000</v>
      </c>
      <c r="V840" s="1">
        <v>0</v>
      </c>
      <c r="W840" s="1">
        <v>0</v>
      </c>
      <c r="X840" s="1">
        <v>0</v>
      </c>
      <c r="Y840" s="1">
        <v>0</v>
      </c>
      <c r="Z840" s="1">
        <v>0</v>
      </c>
      <c r="AA840" s="1">
        <v>0</v>
      </c>
      <c r="AB840" s="1">
        <v>0</v>
      </c>
      <c r="AC840" s="1">
        <v>0</v>
      </c>
      <c r="AD840" s="1">
        <v>0</v>
      </c>
    </row>
    <row r="841" spans="1:30" s="20" customFormat="1" ht="36" customHeight="1" x14ac:dyDescent="0.25">
      <c r="A841" s="2">
        <f t="shared" si="459"/>
        <v>813</v>
      </c>
      <c r="B841" s="6">
        <f t="shared" si="405"/>
        <v>813</v>
      </c>
      <c r="C841" s="19" t="s">
        <v>1742</v>
      </c>
      <c r="D841" s="4">
        <f t="shared" si="458"/>
        <v>7200000</v>
      </c>
      <c r="E841" s="1">
        <f t="shared" si="468"/>
        <v>0</v>
      </c>
      <c r="F841" s="1">
        <v>0</v>
      </c>
      <c r="G841" s="1">
        <v>0</v>
      </c>
      <c r="H841" s="1">
        <v>0</v>
      </c>
      <c r="I841" s="1">
        <v>0</v>
      </c>
      <c r="J841" s="1">
        <v>0</v>
      </c>
      <c r="K841" s="1">
        <v>0</v>
      </c>
      <c r="L841" s="2">
        <v>2</v>
      </c>
      <c r="M841" s="1">
        <f t="shared" si="469"/>
        <v>7000000</v>
      </c>
      <c r="N841" s="1">
        <v>0</v>
      </c>
      <c r="O841" s="1">
        <v>0</v>
      </c>
      <c r="P841" s="1">
        <v>0</v>
      </c>
      <c r="Q841" s="1">
        <f t="shared" si="466"/>
        <v>0</v>
      </c>
      <c r="R841" s="1">
        <v>0</v>
      </c>
      <c r="S841" s="1">
        <f t="shared" si="467"/>
        <v>0</v>
      </c>
      <c r="T841" s="1">
        <v>0</v>
      </c>
      <c r="U841" s="1">
        <v>200000</v>
      </c>
      <c r="V841" s="1">
        <v>0</v>
      </c>
      <c r="W841" s="1">
        <v>0</v>
      </c>
      <c r="X841" s="1">
        <v>0</v>
      </c>
      <c r="Y841" s="1">
        <v>0</v>
      </c>
      <c r="Z841" s="1">
        <v>0</v>
      </c>
      <c r="AA841" s="1">
        <v>0</v>
      </c>
      <c r="AB841" s="1">
        <v>0</v>
      </c>
      <c r="AC841" s="1">
        <v>0</v>
      </c>
      <c r="AD841" s="1">
        <v>0</v>
      </c>
    </row>
    <row r="842" spans="1:30" s="20" customFormat="1" ht="36" customHeight="1" x14ac:dyDescent="0.25">
      <c r="A842" s="2">
        <f t="shared" si="459"/>
        <v>814</v>
      </c>
      <c r="B842" s="6">
        <f t="shared" ref="B842:B863" si="470">A842</f>
        <v>814</v>
      </c>
      <c r="C842" s="19" t="s">
        <v>2357</v>
      </c>
      <c r="D842" s="4">
        <f t="shared" si="458"/>
        <v>17700000</v>
      </c>
      <c r="E842" s="1">
        <f t="shared" ref="E842:E863" si="471">SUM(F842:K842)</f>
        <v>0</v>
      </c>
      <c r="F842" s="1">
        <v>0</v>
      </c>
      <c r="G842" s="1">
        <v>0</v>
      </c>
      <c r="H842" s="1">
        <v>0</v>
      </c>
      <c r="I842" s="1">
        <v>0</v>
      </c>
      <c r="J842" s="1">
        <v>0</v>
      </c>
      <c r="K842" s="1">
        <v>0</v>
      </c>
      <c r="L842" s="2">
        <v>5</v>
      </c>
      <c r="M842" s="1">
        <f t="shared" ref="M842:M851" si="472">L842*3500000</f>
        <v>17500000</v>
      </c>
      <c r="N842" s="1">
        <v>0</v>
      </c>
      <c r="O842" s="1">
        <v>0</v>
      </c>
      <c r="P842" s="1">
        <v>0</v>
      </c>
      <c r="Q842" s="1">
        <f t="shared" ref="Q842:Q863" si="473">P842*1400</f>
        <v>0</v>
      </c>
      <c r="R842" s="1">
        <v>0</v>
      </c>
      <c r="S842" s="1">
        <f t="shared" ref="S842:S863" si="474">R842*3751</f>
        <v>0</v>
      </c>
      <c r="T842" s="1">
        <v>0</v>
      </c>
      <c r="U842" s="1">
        <v>200000</v>
      </c>
      <c r="V842" s="1">
        <v>0</v>
      </c>
      <c r="W842" s="1">
        <v>0</v>
      </c>
      <c r="X842" s="1">
        <v>0</v>
      </c>
      <c r="Y842" s="1">
        <v>0</v>
      </c>
      <c r="Z842" s="1">
        <v>0</v>
      </c>
      <c r="AA842" s="1">
        <v>0</v>
      </c>
      <c r="AB842" s="1">
        <v>0</v>
      </c>
      <c r="AC842" s="1">
        <v>0</v>
      </c>
      <c r="AD842" s="1">
        <v>0</v>
      </c>
    </row>
    <row r="843" spans="1:30" s="20" customFormat="1" ht="36" customHeight="1" x14ac:dyDescent="0.25">
      <c r="A843" s="2">
        <f t="shared" si="459"/>
        <v>815</v>
      </c>
      <c r="B843" s="6">
        <f t="shared" si="470"/>
        <v>815</v>
      </c>
      <c r="C843" s="19" t="s">
        <v>2358</v>
      </c>
      <c r="D843" s="4">
        <f t="shared" si="458"/>
        <v>14200000</v>
      </c>
      <c r="E843" s="1">
        <f t="shared" si="471"/>
        <v>0</v>
      </c>
      <c r="F843" s="1">
        <v>0</v>
      </c>
      <c r="G843" s="1">
        <v>0</v>
      </c>
      <c r="H843" s="1">
        <v>0</v>
      </c>
      <c r="I843" s="1">
        <v>0</v>
      </c>
      <c r="J843" s="1">
        <v>0</v>
      </c>
      <c r="K843" s="1">
        <v>0</v>
      </c>
      <c r="L843" s="2">
        <v>4</v>
      </c>
      <c r="M843" s="1">
        <f t="shared" si="472"/>
        <v>14000000</v>
      </c>
      <c r="N843" s="1">
        <v>0</v>
      </c>
      <c r="O843" s="1">
        <v>0</v>
      </c>
      <c r="P843" s="1">
        <v>0</v>
      </c>
      <c r="Q843" s="1">
        <f t="shared" si="473"/>
        <v>0</v>
      </c>
      <c r="R843" s="1">
        <v>0</v>
      </c>
      <c r="S843" s="1">
        <f t="shared" si="474"/>
        <v>0</v>
      </c>
      <c r="T843" s="1">
        <v>0</v>
      </c>
      <c r="U843" s="1">
        <v>200000</v>
      </c>
      <c r="V843" s="1">
        <v>0</v>
      </c>
      <c r="W843" s="1">
        <v>0</v>
      </c>
      <c r="X843" s="1">
        <v>0</v>
      </c>
      <c r="Y843" s="1">
        <v>0</v>
      </c>
      <c r="Z843" s="1">
        <v>0</v>
      </c>
      <c r="AA843" s="1">
        <v>0</v>
      </c>
      <c r="AB843" s="1">
        <v>0</v>
      </c>
      <c r="AC843" s="1">
        <v>0</v>
      </c>
      <c r="AD843" s="1">
        <v>0</v>
      </c>
    </row>
    <row r="844" spans="1:30" s="20" customFormat="1" ht="36" customHeight="1" x14ac:dyDescent="0.25">
      <c r="A844" s="2">
        <f t="shared" si="459"/>
        <v>816</v>
      </c>
      <c r="B844" s="6">
        <f t="shared" si="470"/>
        <v>816</v>
      </c>
      <c r="C844" s="19" t="s">
        <v>2359</v>
      </c>
      <c r="D844" s="4">
        <f t="shared" si="458"/>
        <v>35200000</v>
      </c>
      <c r="E844" s="1">
        <f t="shared" si="471"/>
        <v>0</v>
      </c>
      <c r="F844" s="1">
        <v>0</v>
      </c>
      <c r="G844" s="1">
        <v>0</v>
      </c>
      <c r="H844" s="1">
        <v>0</v>
      </c>
      <c r="I844" s="1">
        <v>0</v>
      </c>
      <c r="J844" s="1">
        <v>0</v>
      </c>
      <c r="K844" s="1">
        <v>0</v>
      </c>
      <c r="L844" s="2">
        <v>10</v>
      </c>
      <c r="M844" s="1">
        <f t="shared" si="472"/>
        <v>35000000</v>
      </c>
      <c r="N844" s="1">
        <v>0</v>
      </c>
      <c r="O844" s="1">
        <v>0</v>
      </c>
      <c r="P844" s="1">
        <v>0</v>
      </c>
      <c r="Q844" s="1">
        <f t="shared" si="473"/>
        <v>0</v>
      </c>
      <c r="R844" s="1">
        <v>0</v>
      </c>
      <c r="S844" s="1">
        <f t="shared" si="474"/>
        <v>0</v>
      </c>
      <c r="T844" s="1">
        <v>0</v>
      </c>
      <c r="U844" s="1">
        <v>200000</v>
      </c>
      <c r="V844" s="1">
        <v>0</v>
      </c>
      <c r="W844" s="1">
        <v>0</v>
      </c>
      <c r="X844" s="1">
        <v>0</v>
      </c>
      <c r="Y844" s="1">
        <v>0</v>
      </c>
      <c r="Z844" s="1">
        <v>0</v>
      </c>
      <c r="AA844" s="1">
        <v>0</v>
      </c>
      <c r="AB844" s="1">
        <v>0</v>
      </c>
      <c r="AC844" s="1">
        <v>0</v>
      </c>
      <c r="AD844" s="1">
        <v>0</v>
      </c>
    </row>
    <row r="845" spans="1:30" s="20" customFormat="1" ht="36" customHeight="1" x14ac:dyDescent="0.25">
      <c r="A845" s="2">
        <f t="shared" si="459"/>
        <v>817</v>
      </c>
      <c r="B845" s="6">
        <f t="shared" si="470"/>
        <v>817</v>
      </c>
      <c r="C845" s="19" t="s">
        <v>2360</v>
      </c>
      <c r="D845" s="4">
        <f t="shared" si="458"/>
        <v>14200000</v>
      </c>
      <c r="E845" s="1">
        <f t="shared" si="471"/>
        <v>0</v>
      </c>
      <c r="F845" s="1">
        <v>0</v>
      </c>
      <c r="G845" s="1">
        <v>0</v>
      </c>
      <c r="H845" s="1">
        <v>0</v>
      </c>
      <c r="I845" s="1">
        <v>0</v>
      </c>
      <c r="J845" s="1">
        <v>0</v>
      </c>
      <c r="K845" s="1">
        <v>0</v>
      </c>
      <c r="L845" s="2">
        <v>4</v>
      </c>
      <c r="M845" s="1">
        <f t="shared" si="472"/>
        <v>14000000</v>
      </c>
      <c r="N845" s="1">
        <v>0</v>
      </c>
      <c r="O845" s="1">
        <v>0</v>
      </c>
      <c r="P845" s="1">
        <v>0</v>
      </c>
      <c r="Q845" s="1">
        <f t="shared" si="473"/>
        <v>0</v>
      </c>
      <c r="R845" s="1">
        <v>0</v>
      </c>
      <c r="S845" s="1">
        <f t="shared" si="474"/>
        <v>0</v>
      </c>
      <c r="T845" s="1">
        <v>0</v>
      </c>
      <c r="U845" s="1">
        <v>200000</v>
      </c>
      <c r="V845" s="1">
        <v>0</v>
      </c>
      <c r="W845" s="1">
        <v>0</v>
      </c>
      <c r="X845" s="1">
        <v>0</v>
      </c>
      <c r="Y845" s="1">
        <v>0</v>
      </c>
      <c r="Z845" s="1">
        <v>0</v>
      </c>
      <c r="AA845" s="1">
        <v>0</v>
      </c>
      <c r="AB845" s="1">
        <v>0</v>
      </c>
      <c r="AC845" s="1">
        <v>0</v>
      </c>
      <c r="AD845" s="1">
        <v>0</v>
      </c>
    </row>
    <row r="846" spans="1:30" s="20" customFormat="1" ht="36" customHeight="1" x14ac:dyDescent="0.25">
      <c r="A846" s="2">
        <f t="shared" si="459"/>
        <v>818</v>
      </c>
      <c r="B846" s="6">
        <f t="shared" si="470"/>
        <v>818</v>
      </c>
      <c r="C846" s="19" t="s">
        <v>2361</v>
      </c>
      <c r="D846" s="4">
        <f t="shared" si="458"/>
        <v>7200000</v>
      </c>
      <c r="E846" s="1">
        <f t="shared" si="471"/>
        <v>0</v>
      </c>
      <c r="F846" s="1">
        <v>0</v>
      </c>
      <c r="G846" s="1">
        <v>0</v>
      </c>
      <c r="H846" s="1">
        <v>0</v>
      </c>
      <c r="I846" s="1">
        <v>0</v>
      </c>
      <c r="J846" s="1">
        <v>0</v>
      </c>
      <c r="K846" s="1">
        <v>0</v>
      </c>
      <c r="L846" s="2">
        <v>2</v>
      </c>
      <c r="M846" s="1">
        <f t="shared" si="472"/>
        <v>7000000</v>
      </c>
      <c r="N846" s="1">
        <v>0</v>
      </c>
      <c r="O846" s="1">
        <v>0</v>
      </c>
      <c r="P846" s="1">
        <v>0</v>
      </c>
      <c r="Q846" s="1">
        <f t="shared" si="473"/>
        <v>0</v>
      </c>
      <c r="R846" s="1">
        <v>0</v>
      </c>
      <c r="S846" s="1">
        <f t="shared" si="474"/>
        <v>0</v>
      </c>
      <c r="T846" s="1">
        <v>0</v>
      </c>
      <c r="U846" s="1">
        <v>200000</v>
      </c>
      <c r="V846" s="1">
        <v>0</v>
      </c>
      <c r="W846" s="1">
        <v>0</v>
      </c>
      <c r="X846" s="1">
        <v>0</v>
      </c>
      <c r="Y846" s="1">
        <v>0</v>
      </c>
      <c r="Z846" s="1">
        <v>0</v>
      </c>
      <c r="AA846" s="1">
        <v>0</v>
      </c>
      <c r="AB846" s="1">
        <v>0</v>
      </c>
      <c r="AC846" s="1">
        <v>0</v>
      </c>
      <c r="AD846" s="1">
        <v>0</v>
      </c>
    </row>
    <row r="847" spans="1:30" s="20" customFormat="1" ht="36" customHeight="1" x14ac:dyDescent="0.25">
      <c r="A847" s="2">
        <f t="shared" si="459"/>
        <v>819</v>
      </c>
      <c r="B847" s="6">
        <f t="shared" si="470"/>
        <v>819</v>
      </c>
      <c r="C847" s="19" t="s">
        <v>2362</v>
      </c>
      <c r="D847" s="4">
        <f t="shared" si="458"/>
        <v>17700000</v>
      </c>
      <c r="E847" s="1">
        <f t="shared" si="471"/>
        <v>0</v>
      </c>
      <c r="F847" s="1">
        <v>0</v>
      </c>
      <c r="G847" s="1">
        <v>0</v>
      </c>
      <c r="H847" s="1">
        <v>0</v>
      </c>
      <c r="I847" s="1">
        <v>0</v>
      </c>
      <c r="J847" s="1">
        <v>0</v>
      </c>
      <c r="K847" s="1">
        <v>0</v>
      </c>
      <c r="L847" s="2">
        <v>5</v>
      </c>
      <c r="M847" s="1">
        <f t="shared" si="472"/>
        <v>17500000</v>
      </c>
      <c r="N847" s="1">
        <v>0</v>
      </c>
      <c r="O847" s="1">
        <v>0</v>
      </c>
      <c r="P847" s="1">
        <v>0</v>
      </c>
      <c r="Q847" s="1">
        <f t="shared" si="473"/>
        <v>0</v>
      </c>
      <c r="R847" s="1">
        <v>0</v>
      </c>
      <c r="S847" s="1">
        <f t="shared" si="474"/>
        <v>0</v>
      </c>
      <c r="T847" s="1">
        <v>0</v>
      </c>
      <c r="U847" s="1">
        <v>200000</v>
      </c>
      <c r="V847" s="1">
        <v>0</v>
      </c>
      <c r="W847" s="1">
        <v>0</v>
      </c>
      <c r="X847" s="1">
        <v>0</v>
      </c>
      <c r="Y847" s="1">
        <v>0</v>
      </c>
      <c r="Z847" s="1">
        <v>0</v>
      </c>
      <c r="AA847" s="1">
        <v>0</v>
      </c>
      <c r="AB847" s="1">
        <v>0</v>
      </c>
      <c r="AC847" s="1">
        <v>0</v>
      </c>
      <c r="AD847" s="1">
        <v>0</v>
      </c>
    </row>
    <row r="848" spans="1:30" s="20" customFormat="1" ht="36" customHeight="1" x14ac:dyDescent="0.25">
      <c r="A848" s="2">
        <f t="shared" si="459"/>
        <v>820</v>
      </c>
      <c r="B848" s="6">
        <f t="shared" si="470"/>
        <v>820</v>
      </c>
      <c r="C848" s="19" t="s">
        <v>2363</v>
      </c>
      <c r="D848" s="4">
        <f t="shared" si="458"/>
        <v>24700000</v>
      </c>
      <c r="E848" s="1">
        <f t="shared" si="471"/>
        <v>0</v>
      </c>
      <c r="F848" s="1">
        <v>0</v>
      </c>
      <c r="G848" s="1">
        <v>0</v>
      </c>
      <c r="H848" s="1">
        <v>0</v>
      </c>
      <c r="I848" s="1">
        <v>0</v>
      </c>
      <c r="J848" s="1">
        <v>0</v>
      </c>
      <c r="K848" s="1">
        <v>0</v>
      </c>
      <c r="L848" s="2">
        <v>7</v>
      </c>
      <c r="M848" s="1">
        <f t="shared" si="472"/>
        <v>24500000</v>
      </c>
      <c r="N848" s="1">
        <v>0</v>
      </c>
      <c r="O848" s="1">
        <v>0</v>
      </c>
      <c r="P848" s="1">
        <v>0</v>
      </c>
      <c r="Q848" s="1">
        <f t="shared" si="473"/>
        <v>0</v>
      </c>
      <c r="R848" s="1">
        <v>0</v>
      </c>
      <c r="S848" s="1">
        <f t="shared" si="474"/>
        <v>0</v>
      </c>
      <c r="T848" s="1">
        <v>0</v>
      </c>
      <c r="U848" s="1">
        <v>200000</v>
      </c>
      <c r="V848" s="1">
        <v>0</v>
      </c>
      <c r="W848" s="1">
        <v>0</v>
      </c>
      <c r="X848" s="1">
        <v>0</v>
      </c>
      <c r="Y848" s="1">
        <v>0</v>
      </c>
      <c r="Z848" s="1">
        <v>0</v>
      </c>
      <c r="AA848" s="1">
        <v>0</v>
      </c>
      <c r="AB848" s="1">
        <v>0</v>
      </c>
      <c r="AC848" s="1">
        <v>0</v>
      </c>
      <c r="AD848" s="1">
        <v>0</v>
      </c>
    </row>
    <row r="849" spans="1:30" s="20" customFormat="1" ht="36" customHeight="1" x14ac:dyDescent="0.25">
      <c r="A849" s="2">
        <f t="shared" si="459"/>
        <v>821</v>
      </c>
      <c r="B849" s="6">
        <f t="shared" si="470"/>
        <v>821</v>
      </c>
      <c r="C849" s="19" t="s">
        <v>2364</v>
      </c>
      <c r="D849" s="4">
        <f t="shared" si="458"/>
        <v>24700000</v>
      </c>
      <c r="E849" s="1">
        <f t="shared" si="471"/>
        <v>0</v>
      </c>
      <c r="F849" s="1">
        <v>0</v>
      </c>
      <c r="G849" s="1">
        <v>0</v>
      </c>
      <c r="H849" s="1">
        <v>0</v>
      </c>
      <c r="I849" s="1">
        <v>0</v>
      </c>
      <c r="J849" s="1">
        <v>0</v>
      </c>
      <c r="K849" s="1">
        <v>0</v>
      </c>
      <c r="L849" s="2">
        <v>7</v>
      </c>
      <c r="M849" s="1">
        <f t="shared" si="472"/>
        <v>24500000</v>
      </c>
      <c r="N849" s="1">
        <v>0</v>
      </c>
      <c r="O849" s="1">
        <v>0</v>
      </c>
      <c r="P849" s="1">
        <v>0</v>
      </c>
      <c r="Q849" s="1">
        <f t="shared" si="473"/>
        <v>0</v>
      </c>
      <c r="R849" s="1">
        <v>0</v>
      </c>
      <c r="S849" s="1">
        <f t="shared" si="474"/>
        <v>0</v>
      </c>
      <c r="T849" s="1">
        <v>0</v>
      </c>
      <c r="U849" s="1">
        <v>200000</v>
      </c>
      <c r="V849" s="1">
        <v>0</v>
      </c>
      <c r="W849" s="1">
        <v>0</v>
      </c>
      <c r="X849" s="1">
        <v>0</v>
      </c>
      <c r="Y849" s="1">
        <v>0</v>
      </c>
      <c r="Z849" s="1">
        <v>0</v>
      </c>
      <c r="AA849" s="1">
        <v>0</v>
      </c>
      <c r="AB849" s="1">
        <v>0</v>
      </c>
      <c r="AC849" s="1">
        <v>0</v>
      </c>
      <c r="AD849" s="1">
        <v>0</v>
      </c>
    </row>
    <row r="850" spans="1:30" s="20" customFormat="1" ht="36" customHeight="1" x14ac:dyDescent="0.25">
      <c r="A850" s="2">
        <f t="shared" si="459"/>
        <v>822</v>
      </c>
      <c r="B850" s="6">
        <f t="shared" si="470"/>
        <v>822</v>
      </c>
      <c r="C850" s="19" t="s">
        <v>2436</v>
      </c>
      <c r="D850" s="4">
        <f t="shared" si="458"/>
        <v>14200000</v>
      </c>
      <c r="E850" s="1">
        <f t="shared" si="471"/>
        <v>0</v>
      </c>
      <c r="F850" s="1">
        <v>0</v>
      </c>
      <c r="G850" s="1">
        <v>0</v>
      </c>
      <c r="H850" s="1">
        <v>0</v>
      </c>
      <c r="I850" s="1">
        <v>0</v>
      </c>
      <c r="J850" s="1">
        <v>0</v>
      </c>
      <c r="K850" s="1">
        <v>0</v>
      </c>
      <c r="L850" s="2">
        <v>4</v>
      </c>
      <c r="M850" s="1">
        <f t="shared" si="472"/>
        <v>14000000</v>
      </c>
      <c r="N850" s="1">
        <v>0</v>
      </c>
      <c r="O850" s="1">
        <v>0</v>
      </c>
      <c r="P850" s="1">
        <v>0</v>
      </c>
      <c r="Q850" s="1">
        <f t="shared" si="473"/>
        <v>0</v>
      </c>
      <c r="R850" s="1">
        <v>0</v>
      </c>
      <c r="S850" s="1">
        <f t="shared" si="474"/>
        <v>0</v>
      </c>
      <c r="T850" s="1">
        <v>0</v>
      </c>
      <c r="U850" s="1">
        <v>200000</v>
      </c>
      <c r="V850" s="1">
        <v>0</v>
      </c>
      <c r="W850" s="1">
        <v>0</v>
      </c>
      <c r="X850" s="1">
        <v>0</v>
      </c>
      <c r="Y850" s="1">
        <v>0</v>
      </c>
      <c r="Z850" s="1">
        <v>0</v>
      </c>
      <c r="AA850" s="1">
        <v>0</v>
      </c>
      <c r="AB850" s="1">
        <v>0</v>
      </c>
      <c r="AC850" s="1">
        <v>0</v>
      </c>
      <c r="AD850" s="1">
        <v>0</v>
      </c>
    </row>
    <row r="851" spans="1:30" s="20" customFormat="1" ht="36" customHeight="1" x14ac:dyDescent="0.25">
      <c r="A851" s="2">
        <f t="shared" si="459"/>
        <v>823</v>
      </c>
      <c r="B851" s="6">
        <f t="shared" si="470"/>
        <v>823</v>
      </c>
      <c r="C851" s="19" t="s">
        <v>2365</v>
      </c>
      <c r="D851" s="4">
        <f t="shared" si="458"/>
        <v>21200000</v>
      </c>
      <c r="E851" s="1">
        <f t="shared" si="471"/>
        <v>0</v>
      </c>
      <c r="F851" s="1">
        <v>0</v>
      </c>
      <c r="G851" s="1">
        <v>0</v>
      </c>
      <c r="H851" s="1">
        <v>0</v>
      </c>
      <c r="I851" s="1">
        <v>0</v>
      </c>
      <c r="J851" s="1">
        <v>0</v>
      </c>
      <c r="K851" s="1">
        <v>0</v>
      </c>
      <c r="L851" s="2">
        <v>6</v>
      </c>
      <c r="M851" s="1">
        <f t="shared" si="472"/>
        <v>21000000</v>
      </c>
      <c r="N851" s="1">
        <v>0</v>
      </c>
      <c r="O851" s="1">
        <v>0</v>
      </c>
      <c r="P851" s="1">
        <v>0</v>
      </c>
      <c r="Q851" s="1">
        <f t="shared" si="473"/>
        <v>0</v>
      </c>
      <c r="R851" s="1">
        <v>0</v>
      </c>
      <c r="S851" s="1">
        <f t="shared" si="474"/>
        <v>0</v>
      </c>
      <c r="T851" s="1">
        <v>0</v>
      </c>
      <c r="U851" s="1">
        <v>200000</v>
      </c>
      <c r="V851" s="1">
        <v>0</v>
      </c>
      <c r="W851" s="1">
        <v>0</v>
      </c>
      <c r="X851" s="1">
        <v>0</v>
      </c>
      <c r="Y851" s="1">
        <v>0</v>
      </c>
      <c r="Z851" s="1">
        <v>0</v>
      </c>
      <c r="AA851" s="1">
        <v>0</v>
      </c>
      <c r="AB851" s="1">
        <v>0</v>
      </c>
      <c r="AC851" s="1">
        <v>0</v>
      </c>
      <c r="AD851" s="1">
        <v>0</v>
      </c>
    </row>
    <row r="852" spans="1:30" s="20" customFormat="1" ht="36" customHeight="1" x14ac:dyDescent="0.25">
      <c r="A852" s="2">
        <f t="shared" si="459"/>
        <v>824</v>
      </c>
      <c r="B852" s="6">
        <f t="shared" si="470"/>
        <v>824</v>
      </c>
      <c r="C852" s="19" t="s">
        <v>1741</v>
      </c>
      <c r="D852" s="4">
        <f t="shared" si="458"/>
        <v>7200000</v>
      </c>
      <c r="E852" s="1">
        <f t="shared" si="471"/>
        <v>0</v>
      </c>
      <c r="F852" s="1">
        <v>0</v>
      </c>
      <c r="G852" s="1">
        <v>0</v>
      </c>
      <c r="H852" s="1">
        <v>0</v>
      </c>
      <c r="I852" s="1">
        <v>0</v>
      </c>
      <c r="J852" s="1">
        <v>0</v>
      </c>
      <c r="K852" s="1">
        <v>0</v>
      </c>
      <c r="L852" s="2">
        <v>2</v>
      </c>
      <c r="M852" s="1">
        <f t="shared" si="469"/>
        <v>7000000</v>
      </c>
      <c r="N852" s="1">
        <v>0</v>
      </c>
      <c r="O852" s="1">
        <v>0</v>
      </c>
      <c r="P852" s="1">
        <v>0</v>
      </c>
      <c r="Q852" s="1">
        <f t="shared" si="473"/>
        <v>0</v>
      </c>
      <c r="R852" s="1">
        <v>0</v>
      </c>
      <c r="S852" s="1">
        <f t="shared" si="474"/>
        <v>0</v>
      </c>
      <c r="T852" s="1">
        <v>0</v>
      </c>
      <c r="U852" s="1">
        <v>200000</v>
      </c>
      <c r="V852" s="1">
        <v>0</v>
      </c>
      <c r="W852" s="1">
        <v>0</v>
      </c>
      <c r="X852" s="1">
        <v>0</v>
      </c>
      <c r="Y852" s="1">
        <v>0</v>
      </c>
      <c r="Z852" s="1">
        <v>0</v>
      </c>
      <c r="AA852" s="1">
        <v>0</v>
      </c>
      <c r="AB852" s="1">
        <v>0</v>
      </c>
      <c r="AC852" s="1">
        <v>0</v>
      </c>
      <c r="AD852" s="1">
        <v>0</v>
      </c>
    </row>
    <row r="853" spans="1:30" s="20" customFormat="1" ht="36" customHeight="1" x14ac:dyDescent="0.25">
      <c r="A853" s="2">
        <f t="shared" si="459"/>
        <v>825</v>
      </c>
      <c r="B853" s="6">
        <f t="shared" si="470"/>
        <v>825</v>
      </c>
      <c r="C853" s="19" t="s">
        <v>1743</v>
      </c>
      <c r="D853" s="4">
        <f t="shared" si="458"/>
        <v>28200000</v>
      </c>
      <c r="E853" s="1">
        <f t="shared" si="471"/>
        <v>0</v>
      </c>
      <c r="F853" s="1">
        <v>0</v>
      </c>
      <c r="G853" s="1">
        <v>0</v>
      </c>
      <c r="H853" s="1">
        <v>0</v>
      </c>
      <c r="I853" s="1">
        <v>0</v>
      </c>
      <c r="J853" s="1">
        <v>0</v>
      </c>
      <c r="K853" s="1">
        <v>0</v>
      </c>
      <c r="L853" s="2">
        <v>8</v>
      </c>
      <c r="M853" s="1">
        <f t="shared" si="469"/>
        <v>28000000</v>
      </c>
      <c r="N853" s="1">
        <v>0</v>
      </c>
      <c r="O853" s="1">
        <v>0</v>
      </c>
      <c r="P853" s="1">
        <v>0</v>
      </c>
      <c r="Q853" s="1">
        <f t="shared" si="473"/>
        <v>0</v>
      </c>
      <c r="R853" s="1">
        <v>0</v>
      </c>
      <c r="S853" s="1">
        <f t="shared" si="474"/>
        <v>0</v>
      </c>
      <c r="T853" s="1">
        <v>0</v>
      </c>
      <c r="U853" s="1">
        <v>200000</v>
      </c>
      <c r="V853" s="1">
        <v>0</v>
      </c>
      <c r="W853" s="1">
        <v>0</v>
      </c>
      <c r="X853" s="1">
        <v>0</v>
      </c>
      <c r="Y853" s="1">
        <v>0</v>
      </c>
      <c r="Z853" s="1">
        <v>0</v>
      </c>
      <c r="AA853" s="1">
        <v>0</v>
      </c>
      <c r="AB853" s="1">
        <v>0</v>
      </c>
      <c r="AC853" s="1">
        <v>0</v>
      </c>
      <c r="AD853" s="1">
        <v>0</v>
      </c>
    </row>
    <row r="854" spans="1:30" s="20" customFormat="1" ht="36" customHeight="1" x14ac:dyDescent="0.25">
      <c r="A854" s="2">
        <f t="shared" si="459"/>
        <v>826</v>
      </c>
      <c r="B854" s="6">
        <f t="shared" si="470"/>
        <v>826</v>
      </c>
      <c r="C854" s="19" t="s">
        <v>2366</v>
      </c>
      <c r="D854" s="4">
        <f t="shared" si="458"/>
        <v>7200000</v>
      </c>
      <c r="E854" s="1">
        <f t="shared" si="471"/>
        <v>0</v>
      </c>
      <c r="F854" s="1">
        <v>0</v>
      </c>
      <c r="G854" s="1">
        <v>0</v>
      </c>
      <c r="H854" s="1">
        <v>0</v>
      </c>
      <c r="I854" s="1">
        <v>0</v>
      </c>
      <c r="J854" s="1">
        <v>0</v>
      </c>
      <c r="K854" s="1">
        <v>0</v>
      </c>
      <c r="L854" s="2">
        <v>2</v>
      </c>
      <c r="M854" s="1">
        <f t="shared" ref="M854:M863" si="475">L854*3500000</f>
        <v>7000000</v>
      </c>
      <c r="N854" s="1">
        <v>0</v>
      </c>
      <c r="O854" s="1">
        <v>0</v>
      </c>
      <c r="P854" s="1">
        <v>0</v>
      </c>
      <c r="Q854" s="1">
        <f t="shared" si="473"/>
        <v>0</v>
      </c>
      <c r="R854" s="1">
        <v>0</v>
      </c>
      <c r="S854" s="1">
        <f t="shared" si="474"/>
        <v>0</v>
      </c>
      <c r="T854" s="1">
        <v>0</v>
      </c>
      <c r="U854" s="1">
        <v>200000</v>
      </c>
      <c r="V854" s="1">
        <v>0</v>
      </c>
      <c r="W854" s="1">
        <v>0</v>
      </c>
      <c r="X854" s="1">
        <v>0</v>
      </c>
      <c r="Y854" s="1">
        <v>0</v>
      </c>
      <c r="Z854" s="1">
        <v>0</v>
      </c>
      <c r="AA854" s="1">
        <v>0</v>
      </c>
      <c r="AB854" s="1">
        <v>0</v>
      </c>
      <c r="AC854" s="1">
        <v>0</v>
      </c>
      <c r="AD854" s="1">
        <v>0</v>
      </c>
    </row>
    <row r="855" spans="1:30" s="20" customFormat="1" ht="36" customHeight="1" x14ac:dyDescent="0.25">
      <c r="A855" s="2">
        <f t="shared" si="459"/>
        <v>827</v>
      </c>
      <c r="B855" s="6">
        <f t="shared" si="470"/>
        <v>827</v>
      </c>
      <c r="C855" s="19" t="s">
        <v>2367</v>
      </c>
      <c r="D855" s="4">
        <f t="shared" si="458"/>
        <v>17700000</v>
      </c>
      <c r="E855" s="1">
        <f t="shared" si="471"/>
        <v>0</v>
      </c>
      <c r="F855" s="1">
        <v>0</v>
      </c>
      <c r="G855" s="1">
        <v>0</v>
      </c>
      <c r="H855" s="1">
        <v>0</v>
      </c>
      <c r="I855" s="1">
        <v>0</v>
      </c>
      <c r="J855" s="1">
        <v>0</v>
      </c>
      <c r="K855" s="1">
        <v>0</v>
      </c>
      <c r="L855" s="2">
        <v>5</v>
      </c>
      <c r="M855" s="1">
        <f t="shared" si="475"/>
        <v>17500000</v>
      </c>
      <c r="N855" s="1">
        <v>0</v>
      </c>
      <c r="O855" s="1">
        <v>0</v>
      </c>
      <c r="P855" s="1">
        <v>0</v>
      </c>
      <c r="Q855" s="1">
        <f t="shared" si="473"/>
        <v>0</v>
      </c>
      <c r="R855" s="1">
        <v>0</v>
      </c>
      <c r="S855" s="1">
        <f t="shared" si="474"/>
        <v>0</v>
      </c>
      <c r="T855" s="1">
        <v>0</v>
      </c>
      <c r="U855" s="1">
        <v>200000</v>
      </c>
      <c r="V855" s="1">
        <v>0</v>
      </c>
      <c r="W855" s="1">
        <v>0</v>
      </c>
      <c r="X855" s="1">
        <v>0</v>
      </c>
      <c r="Y855" s="1">
        <v>0</v>
      </c>
      <c r="Z855" s="1">
        <v>0</v>
      </c>
      <c r="AA855" s="1">
        <v>0</v>
      </c>
      <c r="AB855" s="1">
        <v>0</v>
      </c>
      <c r="AC855" s="1">
        <v>0</v>
      </c>
      <c r="AD855" s="1">
        <v>0</v>
      </c>
    </row>
    <row r="856" spans="1:30" s="20" customFormat="1" ht="36" customHeight="1" x14ac:dyDescent="0.25">
      <c r="A856" s="2">
        <f t="shared" si="459"/>
        <v>828</v>
      </c>
      <c r="B856" s="6">
        <f t="shared" si="470"/>
        <v>828</v>
      </c>
      <c r="C856" s="19" t="s">
        <v>2368</v>
      </c>
      <c r="D856" s="4">
        <f t="shared" si="458"/>
        <v>17700000</v>
      </c>
      <c r="E856" s="1">
        <f t="shared" si="471"/>
        <v>0</v>
      </c>
      <c r="F856" s="1">
        <v>0</v>
      </c>
      <c r="G856" s="1">
        <v>0</v>
      </c>
      <c r="H856" s="1">
        <v>0</v>
      </c>
      <c r="I856" s="1">
        <v>0</v>
      </c>
      <c r="J856" s="1">
        <v>0</v>
      </c>
      <c r="K856" s="1">
        <v>0</v>
      </c>
      <c r="L856" s="2">
        <v>5</v>
      </c>
      <c r="M856" s="1">
        <f t="shared" si="475"/>
        <v>17500000</v>
      </c>
      <c r="N856" s="1">
        <v>0</v>
      </c>
      <c r="O856" s="1">
        <v>0</v>
      </c>
      <c r="P856" s="1">
        <v>0</v>
      </c>
      <c r="Q856" s="1">
        <f t="shared" si="473"/>
        <v>0</v>
      </c>
      <c r="R856" s="1">
        <v>0</v>
      </c>
      <c r="S856" s="1">
        <f t="shared" si="474"/>
        <v>0</v>
      </c>
      <c r="T856" s="1">
        <v>0</v>
      </c>
      <c r="U856" s="1">
        <v>200000</v>
      </c>
      <c r="V856" s="1">
        <v>0</v>
      </c>
      <c r="W856" s="1">
        <v>0</v>
      </c>
      <c r="X856" s="1">
        <v>0</v>
      </c>
      <c r="Y856" s="1">
        <v>0</v>
      </c>
      <c r="Z856" s="1">
        <v>0</v>
      </c>
      <c r="AA856" s="1">
        <v>0</v>
      </c>
      <c r="AB856" s="1">
        <v>0</v>
      </c>
      <c r="AC856" s="1">
        <v>0</v>
      </c>
      <c r="AD856" s="1">
        <v>0</v>
      </c>
    </row>
    <row r="857" spans="1:30" s="20" customFormat="1" ht="36" customHeight="1" x14ac:dyDescent="0.25">
      <c r="A857" s="2">
        <f t="shared" si="459"/>
        <v>829</v>
      </c>
      <c r="B857" s="6">
        <f t="shared" si="470"/>
        <v>829</v>
      </c>
      <c r="C857" s="19" t="s">
        <v>2369</v>
      </c>
      <c r="D857" s="4">
        <f t="shared" si="458"/>
        <v>7200000</v>
      </c>
      <c r="E857" s="1">
        <f t="shared" si="471"/>
        <v>0</v>
      </c>
      <c r="F857" s="1">
        <v>0</v>
      </c>
      <c r="G857" s="1">
        <v>0</v>
      </c>
      <c r="H857" s="1">
        <v>0</v>
      </c>
      <c r="I857" s="1">
        <v>0</v>
      </c>
      <c r="J857" s="1">
        <v>0</v>
      </c>
      <c r="K857" s="1">
        <v>0</v>
      </c>
      <c r="L857" s="2">
        <v>2</v>
      </c>
      <c r="M857" s="1">
        <f t="shared" si="475"/>
        <v>7000000</v>
      </c>
      <c r="N857" s="1">
        <v>0</v>
      </c>
      <c r="O857" s="1">
        <v>0</v>
      </c>
      <c r="P857" s="1">
        <v>0</v>
      </c>
      <c r="Q857" s="1">
        <f t="shared" si="473"/>
        <v>0</v>
      </c>
      <c r="R857" s="1">
        <v>0</v>
      </c>
      <c r="S857" s="1">
        <f t="shared" si="474"/>
        <v>0</v>
      </c>
      <c r="T857" s="1">
        <v>0</v>
      </c>
      <c r="U857" s="1">
        <v>200000</v>
      </c>
      <c r="V857" s="1">
        <v>0</v>
      </c>
      <c r="W857" s="1">
        <v>0</v>
      </c>
      <c r="X857" s="1">
        <v>0</v>
      </c>
      <c r="Y857" s="1">
        <v>0</v>
      </c>
      <c r="Z857" s="1">
        <v>0</v>
      </c>
      <c r="AA857" s="1">
        <v>0</v>
      </c>
      <c r="AB857" s="1">
        <v>0</v>
      </c>
      <c r="AC857" s="1">
        <v>0</v>
      </c>
      <c r="AD857" s="1">
        <v>0</v>
      </c>
    </row>
    <row r="858" spans="1:30" s="20" customFormat="1" ht="36" customHeight="1" x14ac:dyDescent="0.25">
      <c r="A858" s="2">
        <f t="shared" si="459"/>
        <v>830</v>
      </c>
      <c r="B858" s="6">
        <f t="shared" si="470"/>
        <v>830</v>
      </c>
      <c r="C858" s="19" t="s">
        <v>2370</v>
      </c>
      <c r="D858" s="4">
        <f t="shared" si="458"/>
        <v>28200000</v>
      </c>
      <c r="E858" s="1">
        <f t="shared" si="471"/>
        <v>0</v>
      </c>
      <c r="F858" s="1">
        <v>0</v>
      </c>
      <c r="G858" s="1">
        <v>0</v>
      </c>
      <c r="H858" s="1">
        <v>0</v>
      </c>
      <c r="I858" s="1">
        <v>0</v>
      </c>
      <c r="J858" s="1">
        <v>0</v>
      </c>
      <c r="K858" s="1">
        <v>0</v>
      </c>
      <c r="L858" s="2">
        <v>8</v>
      </c>
      <c r="M858" s="1">
        <f t="shared" si="475"/>
        <v>28000000</v>
      </c>
      <c r="N858" s="1">
        <v>0</v>
      </c>
      <c r="O858" s="1">
        <v>0</v>
      </c>
      <c r="P858" s="1">
        <v>0</v>
      </c>
      <c r="Q858" s="1">
        <f t="shared" si="473"/>
        <v>0</v>
      </c>
      <c r="R858" s="1">
        <v>0</v>
      </c>
      <c r="S858" s="1">
        <f t="shared" si="474"/>
        <v>0</v>
      </c>
      <c r="T858" s="1">
        <v>0</v>
      </c>
      <c r="U858" s="1">
        <v>200000</v>
      </c>
      <c r="V858" s="1">
        <v>0</v>
      </c>
      <c r="W858" s="1">
        <v>0</v>
      </c>
      <c r="X858" s="1">
        <v>0</v>
      </c>
      <c r="Y858" s="1">
        <v>0</v>
      </c>
      <c r="Z858" s="1">
        <v>0</v>
      </c>
      <c r="AA858" s="1">
        <v>0</v>
      </c>
      <c r="AB858" s="1">
        <v>0</v>
      </c>
      <c r="AC858" s="1">
        <v>0</v>
      </c>
      <c r="AD858" s="1">
        <v>0</v>
      </c>
    </row>
    <row r="859" spans="1:30" s="20" customFormat="1" ht="36" customHeight="1" x14ac:dyDescent="0.25">
      <c r="A859" s="2">
        <f t="shared" si="459"/>
        <v>831</v>
      </c>
      <c r="B859" s="6">
        <f t="shared" si="470"/>
        <v>831</v>
      </c>
      <c r="C859" s="19" t="s">
        <v>2371</v>
      </c>
      <c r="D859" s="4">
        <f t="shared" si="458"/>
        <v>14200000</v>
      </c>
      <c r="E859" s="1">
        <f t="shared" si="471"/>
        <v>0</v>
      </c>
      <c r="F859" s="1">
        <v>0</v>
      </c>
      <c r="G859" s="1">
        <v>0</v>
      </c>
      <c r="H859" s="1">
        <v>0</v>
      </c>
      <c r="I859" s="1">
        <v>0</v>
      </c>
      <c r="J859" s="1">
        <v>0</v>
      </c>
      <c r="K859" s="1">
        <v>0</v>
      </c>
      <c r="L859" s="2">
        <v>4</v>
      </c>
      <c r="M859" s="1">
        <f t="shared" si="475"/>
        <v>14000000</v>
      </c>
      <c r="N859" s="1">
        <v>0</v>
      </c>
      <c r="O859" s="1">
        <v>0</v>
      </c>
      <c r="P859" s="1">
        <v>0</v>
      </c>
      <c r="Q859" s="1">
        <f t="shared" si="473"/>
        <v>0</v>
      </c>
      <c r="R859" s="1">
        <v>0</v>
      </c>
      <c r="S859" s="1">
        <f t="shared" si="474"/>
        <v>0</v>
      </c>
      <c r="T859" s="1">
        <v>0</v>
      </c>
      <c r="U859" s="1">
        <v>200000</v>
      </c>
      <c r="V859" s="1">
        <v>0</v>
      </c>
      <c r="W859" s="1">
        <v>0</v>
      </c>
      <c r="X859" s="1">
        <v>0</v>
      </c>
      <c r="Y859" s="1">
        <v>0</v>
      </c>
      <c r="Z859" s="1">
        <v>0</v>
      </c>
      <c r="AA859" s="1">
        <v>0</v>
      </c>
      <c r="AB859" s="1">
        <v>0</v>
      </c>
      <c r="AC859" s="1">
        <v>0</v>
      </c>
      <c r="AD859" s="1">
        <v>0</v>
      </c>
    </row>
    <row r="860" spans="1:30" s="20" customFormat="1" ht="36" customHeight="1" x14ac:dyDescent="0.25">
      <c r="A860" s="2">
        <f t="shared" si="459"/>
        <v>832</v>
      </c>
      <c r="B860" s="6">
        <f t="shared" si="470"/>
        <v>832</v>
      </c>
      <c r="C860" s="19" t="s">
        <v>2372</v>
      </c>
      <c r="D860" s="4">
        <f t="shared" si="458"/>
        <v>17700000</v>
      </c>
      <c r="E860" s="1">
        <f t="shared" si="471"/>
        <v>0</v>
      </c>
      <c r="F860" s="1">
        <v>0</v>
      </c>
      <c r="G860" s="1">
        <v>0</v>
      </c>
      <c r="H860" s="1">
        <v>0</v>
      </c>
      <c r="I860" s="1">
        <v>0</v>
      </c>
      <c r="J860" s="1">
        <v>0</v>
      </c>
      <c r="K860" s="1">
        <v>0</v>
      </c>
      <c r="L860" s="2">
        <v>5</v>
      </c>
      <c r="M860" s="1">
        <f t="shared" si="475"/>
        <v>17500000</v>
      </c>
      <c r="N860" s="1">
        <v>0</v>
      </c>
      <c r="O860" s="1">
        <v>0</v>
      </c>
      <c r="P860" s="1">
        <v>0</v>
      </c>
      <c r="Q860" s="1">
        <f t="shared" si="473"/>
        <v>0</v>
      </c>
      <c r="R860" s="1">
        <v>0</v>
      </c>
      <c r="S860" s="1">
        <f t="shared" si="474"/>
        <v>0</v>
      </c>
      <c r="T860" s="1">
        <v>0</v>
      </c>
      <c r="U860" s="1">
        <v>200000</v>
      </c>
      <c r="V860" s="1">
        <v>0</v>
      </c>
      <c r="W860" s="1">
        <v>0</v>
      </c>
      <c r="X860" s="1">
        <v>0</v>
      </c>
      <c r="Y860" s="1">
        <v>0</v>
      </c>
      <c r="Z860" s="1">
        <v>0</v>
      </c>
      <c r="AA860" s="1">
        <v>0</v>
      </c>
      <c r="AB860" s="1">
        <v>0</v>
      </c>
      <c r="AC860" s="1">
        <v>0</v>
      </c>
      <c r="AD860" s="1">
        <v>0</v>
      </c>
    </row>
    <row r="861" spans="1:30" s="20" customFormat="1" ht="36" customHeight="1" x14ac:dyDescent="0.25">
      <c r="A861" s="2">
        <f t="shared" si="459"/>
        <v>833</v>
      </c>
      <c r="B861" s="6">
        <f t="shared" si="470"/>
        <v>833</v>
      </c>
      <c r="C861" s="19" t="s">
        <v>2373</v>
      </c>
      <c r="D861" s="4">
        <f t="shared" si="458"/>
        <v>28200000</v>
      </c>
      <c r="E861" s="1">
        <f t="shared" si="471"/>
        <v>0</v>
      </c>
      <c r="F861" s="1">
        <v>0</v>
      </c>
      <c r="G861" s="1">
        <v>0</v>
      </c>
      <c r="H861" s="1">
        <v>0</v>
      </c>
      <c r="I861" s="1">
        <v>0</v>
      </c>
      <c r="J861" s="1">
        <v>0</v>
      </c>
      <c r="K861" s="1">
        <v>0</v>
      </c>
      <c r="L861" s="2">
        <v>8</v>
      </c>
      <c r="M861" s="1">
        <f t="shared" si="475"/>
        <v>28000000</v>
      </c>
      <c r="N861" s="1">
        <v>0</v>
      </c>
      <c r="O861" s="1">
        <v>0</v>
      </c>
      <c r="P861" s="1">
        <v>0</v>
      </c>
      <c r="Q861" s="1">
        <f t="shared" si="473"/>
        <v>0</v>
      </c>
      <c r="R861" s="1">
        <v>0</v>
      </c>
      <c r="S861" s="1">
        <f t="shared" si="474"/>
        <v>0</v>
      </c>
      <c r="T861" s="1">
        <v>0</v>
      </c>
      <c r="U861" s="1">
        <v>200000</v>
      </c>
      <c r="V861" s="1">
        <v>0</v>
      </c>
      <c r="W861" s="1">
        <v>0</v>
      </c>
      <c r="X861" s="1">
        <v>0</v>
      </c>
      <c r="Y861" s="1">
        <v>0</v>
      </c>
      <c r="Z861" s="1">
        <v>0</v>
      </c>
      <c r="AA861" s="1">
        <v>0</v>
      </c>
      <c r="AB861" s="1">
        <v>0</v>
      </c>
      <c r="AC861" s="1">
        <v>0</v>
      </c>
      <c r="AD861" s="1">
        <v>0</v>
      </c>
    </row>
    <row r="862" spans="1:30" s="20" customFormat="1" ht="36" customHeight="1" x14ac:dyDescent="0.25">
      <c r="A862" s="2">
        <f t="shared" si="459"/>
        <v>834</v>
      </c>
      <c r="B862" s="6">
        <f t="shared" si="470"/>
        <v>834</v>
      </c>
      <c r="C862" s="19" t="s">
        <v>2374</v>
      </c>
      <c r="D862" s="4">
        <f t="shared" si="458"/>
        <v>3700000</v>
      </c>
      <c r="E862" s="1">
        <f t="shared" si="471"/>
        <v>0</v>
      </c>
      <c r="F862" s="1">
        <v>0</v>
      </c>
      <c r="G862" s="1">
        <v>0</v>
      </c>
      <c r="H862" s="1">
        <v>0</v>
      </c>
      <c r="I862" s="1">
        <v>0</v>
      </c>
      <c r="J862" s="1">
        <v>0</v>
      </c>
      <c r="K862" s="1">
        <v>0</v>
      </c>
      <c r="L862" s="2">
        <v>1</v>
      </c>
      <c r="M862" s="1">
        <f t="shared" si="475"/>
        <v>3500000</v>
      </c>
      <c r="N862" s="1">
        <v>0</v>
      </c>
      <c r="O862" s="1">
        <v>0</v>
      </c>
      <c r="P862" s="1">
        <v>0</v>
      </c>
      <c r="Q862" s="1">
        <f t="shared" si="473"/>
        <v>0</v>
      </c>
      <c r="R862" s="1">
        <v>0</v>
      </c>
      <c r="S862" s="1">
        <f t="shared" si="474"/>
        <v>0</v>
      </c>
      <c r="T862" s="1">
        <v>0</v>
      </c>
      <c r="U862" s="1">
        <v>200000</v>
      </c>
      <c r="V862" s="1">
        <v>0</v>
      </c>
      <c r="W862" s="1">
        <v>0</v>
      </c>
      <c r="X862" s="1">
        <v>0</v>
      </c>
      <c r="Y862" s="1">
        <v>0</v>
      </c>
      <c r="Z862" s="1">
        <v>0</v>
      </c>
      <c r="AA862" s="1">
        <v>0</v>
      </c>
      <c r="AB862" s="1">
        <v>0</v>
      </c>
      <c r="AC862" s="1">
        <v>0</v>
      </c>
      <c r="AD862" s="1">
        <v>0</v>
      </c>
    </row>
    <row r="863" spans="1:30" s="20" customFormat="1" ht="36" customHeight="1" x14ac:dyDescent="0.25">
      <c r="A863" s="2">
        <f t="shared" si="459"/>
        <v>835</v>
      </c>
      <c r="B863" s="6">
        <f t="shared" si="470"/>
        <v>835</v>
      </c>
      <c r="C863" s="19" t="s">
        <v>2375</v>
      </c>
      <c r="D863" s="4">
        <f t="shared" si="458"/>
        <v>14200000</v>
      </c>
      <c r="E863" s="1">
        <f t="shared" si="471"/>
        <v>0</v>
      </c>
      <c r="F863" s="1">
        <v>0</v>
      </c>
      <c r="G863" s="1">
        <v>0</v>
      </c>
      <c r="H863" s="1">
        <v>0</v>
      </c>
      <c r="I863" s="1">
        <v>0</v>
      </c>
      <c r="J863" s="1">
        <v>0</v>
      </c>
      <c r="K863" s="1">
        <v>0</v>
      </c>
      <c r="L863" s="2">
        <v>4</v>
      </c>
      <c r="M863" s="1">
        <f t="shared" si="475"/>
        <v>14000000</v>
      </c>
      <c r="N863" s="1">
        <v>0</v>
      </c>
      <c r="O863" s="1">
        <v>0</v>
      </c>
      <c r="P863" s="1">
        <v>0</v>
      </c>
      <c r="Q863" s="1">
        <f t="shared" si="473"/>
        <v>0</v>
      </c>
      <c r="R863" s="1">
        <v>0</v>
      </c>
      <c r="S863" s="1">
        <f t="shared" si="474"/>
        <v>0</v>
      </c>
      <c r="T863" s="1">
        <v>0</v>
      </c>
      <c r="U863" s="1">
        <v>200000</v>
      </c>
      <c r="V863" s="1">
        <v>0</v>
      </c>
      <c r="W863" s="1">
        <v>0</v>
      </c>
      <c r="X863" s="1">
        <v>0</v>
      </c>
      <c r="Y863" s="1">
        <v>0</v>
      </c>
      <c r="Z863" s="1">
        <v>0</v>
      </c>
      <c r="AA863" s="1">
        <v>0</v>
      </c>
      <c r="AB863" s="1">
        <v>0</v>
      </c>
      <c r="AC863" s="1">
        <v>0</v>
      </c>
      <c r="AD863" s="1">
        <v>0</v>
      </c>
    </row>
    <row r="864" spans="1:30" s="20" customFormat="1" ht="36" customHeight="1" x14ac:dyDescent="0.25">
      <c r="A864" s="2">
        <f t="shared" si="459"/>
        <v>836</v>
      </c>
      <c r="B864" s="6">
        <f t="shared" si="405"/>
        <v>836</v>
      </c>
      <c r="C864" s="19" t="s">
        <v>476</v>
      </c>
      <c r="D864" s="4">
        <f t="shared" si="458"/>
        <v>3378454.45</v>
      </c>
      <c r="E864" s="1">
        <f t="shared" si="468"/>
        <v>3278454.45</v>
      </c>
      <c r="F864" s="1">
        <v>0</v>
      </c>
      <c r="G864" s="1">
        <f>1693*1050.45</f>
        <v>1778411.85</v>
      </c>
      <c r="H864" s="1">
        <f>390*1050.45</f>
        <v>409675.5</v>
      </c>
      <c r="I864" s="1">
        <f>571*1050.45</f>
        <v>599806.95000000007</v>
      </c>
      <c r="J864" s="1">
        <f>467*1050.45</f>
        <v>490560.15</v>
      </c>
      <c r="K864" s="1">
        <v>0</v>
      </c>
      <c r="L864" s="2">
        <v>0</v>
      </c>
      <c r="M864" s="1">
        <f t="shared" si="469"/>
        <v>0</v>
      </c>
      <c r="N864" s="1">
        <v>0</v>
      </c>
      <c r="O864" s="1">
        <v>0</v>
      </c>
      <c r="P864" s="1">
        <v>0</v>
      </c>
      <c r="Q864" s="1">
        <f t="shared" si="466"/>
        <v>0</v>
      </c>
      <c r="R864" s="1">
        <v>0</v>
      </c>
      <c r="S864" s="1">
        <f t="shared" si="467"/>
        <v>0</v>
      </c>
      <c r="T864" s="1">
        <v>0</v>
      </c>
      <c r="U864" s="1">
        <v>50000</v>
      </c>
      <c r="V864" s="1">
        <v>0</v>
      </c>
      <c r="W864" s="1">
        <v>50000</v>
      </c>
      <c r="X864" s="1">
        <v>0</v>
      </c>
      <c r="Y864" s="1">
        <v>0</v>
      </c>
      <c r="Z864" s="1">
        <v>0</v>
      </c>
      <c r="AA864" s="1">
        <v>0</v>
      </c>
      <c r="AB864" s="1">
        <v>0</v>
      </c>
      <c r="AC864" s="1">
        <v>0</v>
      </c>
      <c r="AD864" s="1">
        <v>0</v>
      </c>
    </row>
    <row r="865" spans="1:30" s="20" customFormat="1" ht="36" customHeight="1" x14ac:dyDescent="0.25">
      <c r="A865" s="2">
        <f t="shared" si="459"/>
        <v>837</v>
      </c>
      <c r="B865" s="6">
        <f t="shared" si="405"/>
        <v>837</v>
      </c>
      <c r="C865" s="19" t="s">
        <v>1509</v>
      </c>
      <c r="D865" s="4">
        <f t="shared" ref="D865:D928" si="476">E865+M865+O865+Q865+S865+T865+U865+V865+W865+X865+Z865+AA865+AB865+AC865+AD865</f>
        <v>32162926.75</v>
      </c>
      <c r="E865" s="1">
        <f t="shared" si="468"/>
        <v>22599796.75</v>
      </c>
      <c r="F865" s="1">
        <f>804*5757.91</f>
        <v>4629359.6399999997</v>
      </c>
      <c r="G865" s="1">
        <f>1693*5757.91</f>
        <v>9748141.629999999</v>
      </c>
      <c r="H865" s="1">
        <f>390*5757.91</f>
        <v>2245584.9</v>
      </c>
      <c r="I865" s="1">
        <f>571*5757.91</f>
        <v>3287766.61</v>
      </c>
      <c r="J865" s="1">
        <f>467*5757.91</f>
        <v>2688943.9699999997</v>
      </c>
      <c r="K865" s="1">
        <v>0</v>
      </c>
      <c r="L865" s="2">
        <v>2</v>
      </c>
      <c r="M865" s="1">
        <f t="shared" si="469"/>
        <v>7000000</v>
      </c>
      <c r="N865" s="1">
        <v>0</v>
      </c>
      <c r="O865" s="1">
        <v>0</v>
      </c>
      <c r="P865" s="1">
        <v>0</v>
      </c>
      <c r="Q865" s="1">
        <f t="shared" si="466"/>
        <v>0</v>
      </c>
      <c r="R865" s="1">
        <v>630</v>
      </c>
      <c r="S865" s="1">
        <f t="shared" si="467"/>
        <v>2363130</v>
      </c>
      <c r="T865" s="1">
        <v>0</v>
      </c>
      <c r="U865" s="1">
        <v>200000</v>
      </c>
      <c r="V865" s="1">
        <v>0</v>
      </c>
      <c r="W865" s="1">
        <v>0</v>
      </c>
      <c r="X865" s="1">
        <v>0</v>
      </c>
      <c r="Y865" s="1">
        <v>0</v>
      </c>
      <c r="Z865" s="1">
        <v>0</v>
      </c>
      <c r="AA865" s="1">
        <v>0</v>
      </c>
      <c r="AB865" s="1">
        <v>0</v>
      </c>
      <c r="AC865" s="1">
        <v>0</v>
      </c>
      <c r="AD865" s="1">
        <v>0</v>
      </c>
    </row>
    <row r="866" spans="1:30" s="20" customFormat="1" ht="36" customHeight="1" x14ac:dyDescent="0.25">
      <c r="A866" s="2">
        <f t="shared" si="459"/>
        <v>838</v>
      </c>
      <c r="B866" s="6">
        <f t="shared" si="405"/>
        <v>838</v>
      </c>
      <c r="C866" s="19" t="s">
        <v>477</v>
      </c>
      <c r="D866" s="4">
        <f t="shared" si="476"/>
        <v>2948138.06</v>
      </c>
      <c r="E866" s="1">
        <f t="shared" si="468"/>
        <v>1204975</v>
      </c>
      <c r="F866" s="1">
        <f>804*307</f>
        <v>246828</v>
      </c>
      <c r="G866" s="1">
        <f>1693*307</f>
        <v>519751</v>
      </c>
      <c r="H866" s="1">
        <f>390*307</f>
        <v>119730</v>
      </c>
      <c r="I866" s="1">
        <f>571*307</f>
        <v>175297</v>
      </c>
      <c r="J866" s="1">
        <f>467*307</f>
        <v>143369</v>
      </c>
      <c r="K866" s="1">
        <v>0</v>
      </c>
      <c r="L866" s="2">
        <v>0</v>
      </c>
      <c r="M866" s="1">
        <f t="shared" si="469"/>
        <v>0</v>
      </c>
      <c r="N866" s="1">
        <v>0</v>
      </c>
      <c r="O866" s="1">
        <v>0</v>
      </c>
      <c r="P866" s="1">
        <v>0</v>
      </c>
      <c r="Q866" s="1">
        <f t="shared" si="466"/>
        <v>0</v>
      </c>
      <c r="R866" s="1">
        <v>438.06</v>
      </c>
      <c r="S866" s="1">
        <f t="shared" si="467"/>
        <v>1643163.06</v>
      </c>
      <c r="T866" s="1">
        <v>0</v>
      </c>
      <c r="U866" s="1">
        <v>50000</v>
      </c>
      <c r="V866" s="1">
        <v>0</v>
      </c>
      <c r="W866" s="1">
        <v>50000</v>
      </c>
      <c r="X866" s="1">
        <v>0</v>
      </c>
      <c r="Y866" s="1">
        <v>0</v>
      </c>
      <c r="Z866" s="1">
        <v>0</v>
      </c>
      <c r="AA866" s="1">
        <v>0</v>
      </c>
      <c r="AB866" s="1">
        <v>0</v>
      </c>
      <c r="AC866" s="1">
        <v>0</v>
      </c>
      <c r="AD866" s="1">
        <v>0</v>
      </c>
    </row>
    <row r="867" spans="1:30" s="20" customFormat="1" ht="36" customHeight="1" x14ac:dyDescent="0.25">
      <c r="A867" s="2">
        <f t="shared" si="459"/>
        <v>839</v>
      </c>
      <c r="B867" s="6">
        <f t="shared" si="405"/>
        <v>839</v>
      </c>
      <c r="C867" s="19" t="s">
        <v>478</v>
      </c>
      <c r="D867" s="4">
        <f t="shared" si="476"/>
        <v>3315752.4999999995</v>
      </c>
      <c r="E867" s="1">
        <f t="shared" si="468"/>
        <v>3215752.4999999995</v>
      </c>
      <c r="F867" s="1">
        <f>804*819.3</f>
        <v>658717.19999999995</v>
      </c>
      <c r="G867" s="1">
        <f>1693*819.3</f>
        <v>1387074.9</v>
      </c>
      <c r="H867" s="1">
        <f>390*819.3</f>
        <v>319527</v>
      </c>
      <c r="I867" s="1">
        <f>571*819.3</f>
        <v>467820.3</v>
      </c>
      <c r="J867" s="1">
        <f>467*819.3</f>
        <v>382613.1</v>
      </c>
      <c r="K867" s="1">
        <v>0</v>
      </c>
      <c r="L867" s="2">
        <v>0</v>
      </c>
      <c r="M867" s="1">
        <f t="shared" si="469"/>
        <v>0</v>
      </c>
      <c r="N867" s="1">
        <v>0</v>
      </c>
      <c r="O867" s="1">
        <v>0</v>
      </c>
      <c r="P867" s="1">
        <v>0</v>
      </c>
      <c r="Q867" s="1">
        <f t="shared" si="466"/>
        <v>0</v>
      </c>
      <c r="R867" s="1">
        <v>0</v>
      </c>
      <c r="S867" s="1">
        <f t="shared" si="467"/>
        <v>0</v>
      </c>
      <c r="T867" s="1">
        <v>0</v>
      </c>
      <c r="U867" s="1">
        <v>50000</v>
      </c>
      <c r="V867" s="1">
        <v>0</v>
      </c>
      <c r="W867" s="1">
        <v>50000</v>
      </c>
      <c r="X867" s="1">
        <v>0</v>
      </c>
      <c r="Y867" s="1">
        <v>0</v>
      </c>
      <c r="Z867" s="1">
        <v>0</v>
      </c>
      <c r="AA867" s="1">
        <v>0</v>
      </c>
      <c r="AB867" s="1">
        <v>0</v>
      </c>
      <c r="AC867" s="1">
        <v>0</v>
      </c>
      <c r="AD867" s="1">
        <v>0</v>
      </c>
    </row>
    <row r="868" spans="1:30" s="20" customFormat="1" ht="36" customHeight="1" x14ac:dyDescent="0.25">
      <c r="A868" s="2">
        <f t="shared" si="459"/>
        <v>840</v>
      </c>
      <c r="B868" s="6">
        <f>A868</f>
        <v>840</v>
      </c>
      <c r="C868" s="19" t="s">
        <v>1031</v>
      </c>
      <c r="D868" s="4">
        <f t="shared" si="476"/>
        <v>7596737.5</v>
      </c>
      <c r="E868" s="1">
        <f>SUM(F868:K868)</f>
        <v>2690587.5</v>
      </c>
      <c r="F868" s="1">
        <f>804*685.5</f>
        <v>551142</v>
      </c>
      <c r="G868" s="1">
        <f>1693*685.5</f>
        <v>1160551.5</v>
      </c>
      <c r="H868" s="1">
        <f>390*685.5</f>
        <v>267345</v>
      </c>
      <c r="I868" s="1">
        <f>571*685.5</f>
        <v>391420.5</v>
      </c>
      <c r="J868" s="1">
        <f>467*685.5</f>
        <v>320128.5</v>
      </c>
      <c r="K868" s="1">
        <v>0</v>
      </c>
      <c r="L868" s="2">
        <v>0</v>
      </c>
      <c r="M868" s="1">
        <v>0</v>
      </c>
      <c r="N868" s="1">
        <v>433</v>
      </c>
      <c r="O868" s="1">
        <f>N868*7750</f>
        <v>3355750</v>
      </c>
      <c r="P868" s="1">
        <v>0</v>
      </c>
      <c r="Q868" s="1">
        <f>P868*1400</f>
        <v>0</v>
      </c>
      <c r="R868" s="1">
        <v>400</v>
      </c>
      <c r="S868" s="1">
        <f>R868*3751</f>
        <v>1500400</v>
      </c>
      <c r="T868" s="1">
        <v>0</v>
      </c>
      <c r="U868" s="1">
        <v>50000</v>
      </c>
      <c r="V868" s="1">
        <v>0</v>
      </c>
      <c r="W868" s="1">
        <v>0</v>
      </c>
      <c r="X868" s="1">
        <v>0</v>
      </c>
      <c r="Y868" s="1">
        <v>0</v>
      </c>
      <c r="Z868" s="1">
        <v>0</v>
      </c>
      <c r="AA868" s="1">
        <v>0</v>
      </c>
      <c r="AB868" s="1">
        <v>0</v>
      </c>
      <c r="AC868" s="1">
        <v>0</v>
      </c>
      <c r="AD868" s="1">
        <v>0</v>
      </c>
    </row>
    <row r="869" spans="1:30" s="20" customFormat="1" ht="36" customHeight="1" x14ac:dyDescent="0.25">
      <c r="A869" s="2">
        <f t="shared" si="459"/>
        <v>841</v>
      </c>
      <c r="B869" s="6">
        <f t="shared" si="405"/>
        <v>841</v>
      </c>
      <c r="C869" s="19" t="s">
        <v>479</v>
      </c>
      <c r="D869" s="4">
        <f t="shared" si="476"/>
        <v>2765967.5</v>
      </c>
      <c r="E869" s="1">
        <f t="shared" si="468"/>
        <v>1390627.5000000002</v>
      </c>
      <c r="F869" s="1">
        <f>804*354.3</f>
        <v>284857.2</v>
      </c>
      <c r="G869" s="1">
        <f>1693*354.3</f>
        <v>599829.9</v>
      </c>
      <c r="H869" s="1">
        <f>390*354.3</f>
        <v>138177</v>
      </c>
      <c r="I869" s="1">
        <f>571*354.3</f>
        <v>202305.30000000002</v>
      </c>
      <c r="J869" s="1">
        <f>467*354.3</f>
        <v>165458.1</v>
      </c>
      <c r="K869" s="1">
        <v>0</v>
      </c>
      <c r="L869" s="2">
        <v>0</v>
      </c>
      <c r="M869" s="1">
        <f t="shared" si="469"/>
        <v>0</v>
      </c>
      <c r="N869" s="1">
        <v>0</v>
      </c>
      <c r="O869" s="1">
        <v>0</v>
      </c>
      <c r="P869" s="1">
        <v>0</v>
      </c>
      <c r="Q869" s="1">
        <f t="shared" si="466"/>
        <v>0</v>
      </c>
      <c r="R869" s="1">
        <v>340</v>
      </c>
      <c r="S869" s="1">
        <f t="shared" si="467"/>
        <v>1275340</v>
      </c>
      <c r="T869" s="1">
        <v>0</v>
      </c>
      <c r="U869" s="1">
        <v>50000</v>
      </c>
      <c r="V869" s="1">
        <v>0</v>
      </c>
      <c r="W869" s="1">
        <v>50000</v>
      </c>
      <c r="X869" s="1">
        <v>0</v>
      </c>
      <c r="Y869" s="1">
        <v>0</v>
      </c>
      <c r="Z869" s="1">
        <v>0</v>
      </c>
      <c r="AA869" s="1">
        <v>0</v>
      </c>
      <c r="AB869" s="1">
        <v>0</v>
      </c>
      <c r="AC869" s="1">
        <v>0</v>
      </c>
      <c r="AD869" s="1">
        <v>0</v>
      </c>
    </row>
    <row r="870" spans="1:30" s="20" customFormat="1" ht="36" customHeight="1" x14ac:dyDescent="0.25">
      <c r="A870" s="2">
        <f t="shared" si="459"/>
        <v>842</v>
      </c>
      <c r="B870" s="6">
        <f t="shared" si="405"/>
        <v>842</v>
      </c>
      <c r="C870" s="19" t="s">
        <v>480</v>
      </c>
      <c r="D870" s="4">
        <f t="shared" si="476"/>
        <v>2507310</v>
      </c>
      <c r="E870" s="1">
        <f t="shared" si="468"/>
        <v>1131970</v>
      </c>
      <c r="F870" s="1">
        <f>804*288.4</f>
        <v>231873.59999999998</v>
      </c>
      <c r="G870" s="1">
        <f>1693*288.4</f>
        <v>488261.19999999995</v>
      </c>
      <c r="H870" s="1">
        <f>390*288.4</f>
        <v>112475.99999999999</v>
      </c>
      <c r="I870" s="1">
        <f>571*288.4</f>
        <v>164676.4</v>
      </c>
      <c r="J870" s="1">
        <f>467*288.4</f>
        <v>134682.79999999999</v>
      </c>
      <c r="K870" s="1">
        <v>0</v>
      </c>
      <c r="L870" s="2">
        <v>0</v>
      </c>
      <c r="M870" s="1">
        <f t="shared" si="469"/>
        <v>0</v>
      </c>
      <c r="N870" s="1">
        <v>0</v>
      </c>
      <c r="O870" s="1">
        <v>0</v>
      </c>
      <c r="P870" s="1">
        <v>0</v>
      </c>
      <c r="Q870" s="1">
        <f t="shared" si="466"/>
        <v>0</v>
      </c>
      <c r="R870" s="1">
        <v>340</v>
      </c>
      <c r="S870" s="1">
        <f t="shared" si="467"/>
        <v>1275340</v>
      </c>
      <c r="T870" s="1">
        <v>0</v>
      </c>
      <c r="U870" s="1">
        <v>50000</v>
      </c>
      <c r="V870" s="1">
        <v>0</v>
      </c>
      <c r="W870" s="1">
        <v>50000</v>
      </c>
      <c r="X870" s="1">
        <v>0</v>
      </c>
      <c r="Y870" s="1">
        <v>0</v>
      </c>
      <c r="Z870" s="1">
        <v>0</v>
      </c>
      <c r="AA870" s="1">
        <v>0</v>
      </c>
      <c r="AB870" s="1">
        <v>0</v>
      </c>
      <c r="AC870" s="1">
        <v>0</v>
      </c>
      <c r="AD870" s="1">
        <v>0</v>
      </c>
    </row>
    <row r="871" spans="1:30" s="20" customFormat="1" ht="36" customHeight="1" x14ac:dyDescent="0.25">
      <c r="A871" s="2">
        <f t="shared" si="459"/>
        <v>843</v>
      </c>
      <c r="B871" s="6">
        <f t="shared" si="405"/>
        <v>843</v>
      </c>
      <c r="C871" s="19" t="s">
        <v>481</v>
      </c>
      <c r="D871" s="4">
        <f t="shared" si="476"/>
        <v>15193956</v>
      </c>
      <c r="E871" s="1">
        <f t="shared" si="468"/>
        <v>2340556</v>
      </c>
      <c r="F871" s="1">
        <f>804*596.32</f>
        <v>479441.28</v>
      </c>
      <c r="G871" s="1">
        <f>1693*596.32</f>
        <v>1009569.7600000001</v>
      </c>
      <c r="H871" s="1">
        <f>390*596.32</f>
        <v>232564.80000000002</v>
      </c>
      <c r="I871" s="1">
        <f>571*596.32</f>
        <v>340498.72000000003</v>
      </c>
      <c r="J871" s="1">
        <f>467*596.32</f>
        <v>278481.44</v>
      </c>
      <c r="K871" s="1">
        <v>0</v>
      </c>
      <c r="L871" s="2">
        <v>0</v>
      </c>
      <c r="M871" s="1">
        <f t="shared" si="469"/>
        <v>0</v>
      </c>
      <c r="N871" s="1">
        <v>0</v>
      </c>
      <c r="O871" s="1">
        <v>0</v>
      </c>
      <c r="P871" s="1">
        <v>0</v>
      </c>
      <c r="Q871" s="1">
        <f t="shared" si="466"/>
        <v>0</v>
      </c>
      <c r="R871" s="1">
        <v>3400</v>
      </c>
      <c r="S871" s="1">
        <f t="shared" si="467"/>
        <v>12753400</v>
      </c>
      <c r="T871" s="1">
        <v>0</v>
      </c>
      <c r="U871" s="1">
        <v>50000</v>
      </c>
      <c r="V871" s="1">
        <v>0</v>
      </c>
      <c r="W871" s="1">
        <v>50000</v>
      </c>
      <c r="X871" s="1">
        <v>0</v>
      </c>
      <c r="Y871" s="1">
        <v>0</v>
      </c>
      <c r="Z871" s="1">
        <v>0</v>
      </c>
      <c r="AA871" s="1">
        <v>0</v>
      </c>
      <c r="AB871" s="1">
        <v>0</v>
      </c>
      <c r="AC871" s="1">
        <v>0</v>
      </c>
      <c r="AD871" s="1">
        <v>0</v>
      </c>
    </row>
    <row r="872" spans="1:30" s="20" customFormat="1" ht="36" customHeight="1" x14ac:dyDescent="0.25">
      <c r="A872" s="2">
        <f t="shared" si="459"/>
        <v>844</v>
      </c>
      <c r="B872" s="6">
        <f t="shared" si="405"/>
        <v>844</v>
      </c>
      <c r="C872" s="19" t="s">
        <v>482</v>
      </c>
      <c r="D872" s="4">
        <f t="shared" si="476"/>
        <v>4435061.25</v>
      </c>
      <c r="E872" s="1">
        <f t="shared" si="468"/>
        <v>2797151.2499999995</v>
      </c>
      <c r="F872" s="1">
        <f>804*712.65</f>
        <v>572970.6</v>
      </c>
      <c r="G872" s="1">
        <f>1693*712.65</f>
        <v>1206516.45</v>
      </c>
      <c r="H872" s="1">
        <f>390*712.65</f>
        <v>277933.5</v>
      </c>
      <c r="I872" s="1">
        <f>571*712.65</f>
        <v>406923.14999999997</v>
      </c>
      <c r="J872" s="1">
        <f>467*712.65</f>
        <v>332807.55</v>
      </c>
      <c r="K872" s="1">
        <v>0</v>
      </c>
      <c r="L872" s="2">
        <v>0</v>
      </c>
      <c r="M872" s="1">
        <f t="shared" si="469"/>
        <v>0</v>
      </c>
      <c r="N872" s="1">
        <v>0</v>
      </c>
      <c r="O872" s="1">
        <v>0</v>
      </c>
      <c r="P872" s="1">
        <v>0</v>
      </c>
      <c r="Q872" s="1">
        <f t="shared" si="466"/>
        <v>0</v>
      </c>
      <c r="R872" s="1">
        <v>410</v>
      </c>
      <c r="S872" s="1">
        <f t="shared" si="467"/>
        <v>1537910</v>
      </c>
      <c r="T872" s="1">
        <v>0</v>
      </c>
      <c r="U872" s="1">
        <v>50000</v>
      </c>
      <c r="V872" s="1">
        <v>0</v>
      </c>
      <c r="W872" s="1">
        <v>50000</v>
      </c>
      <c r="X872" s="1">
        <v>0</v>
      </c>
      <c r="Y872" s="1">
        <v>0</v>
      </c>
      <c r="Z872" s="1">
        <v>0</v>
      </c>
      <c r="AA872" s="1">
        <v>0</v>
      </c>
      <c r="AB872" s="1">
        <v>0</v>
      </c>
      <c r="AC872" s="1">
        <v>0</v>
      </c>
      <c r="AD872" s="1">
        <v>0</v>
      </c>
    </row>
    <row r="873" spans="1:30" s="20" customFormat="1" ht="36" customHeight="1" x14ac:dyDescent="0.25">
      <c r="A873" s="2">
        <f t="shared" si="459"/>
        <v>845</v>
      </c>
      <c r="B873" s="6">
        <f>A873</f>
        <v>845</v>
      </c>
      <c r="C873" s="19" t="s">
        <v>493</v>
      </c>
      <c r="D873" s="4">
        <f t="shared" si="476"/>
        <v>3458230.0000000005</v>
      </c>
      <c r="E873" s="1">
        <f>SUM(F873:K873)</f>
        <v>3358230.0000000005</v>
      </c>
      <c r="F873" s="1">
        <f>804*855.6</f>
        <v>687902.4</v>
      </c>
      <c r="G873" s="1">
        <f>1693*855.6</f>
        <v>1448530.8</v>
      </c>
      <c r="H873" s="1">
        <f>390*855.6</f>
        <v>333684</v>
      </c>
      <c r="I873" s="1">
        <f>571*855.6</f>
        <v>488547.60000000003</v>
      </c>
      <c r="J873" s="1">
        <f>467*855.6</f>
        <v>399565.2</v>
      </c>
      <c r="K873" s="1">
        <v>0</v>
      </c>
      <c r="L873" s="2">
        <v>0</v>
      </c>
      <c r="M873" s="1">
        <f>L873*3500000</f>
        <v>0</v>
      </c>
      <c r="N873" s="1">
        <v>0</v>
      </c>
      <c r="O873" s="1">
        <v>0</v>
      </c>
      <c r="P873" s="1">
        <v>0</v>
      </c>
      <c r="Q873" s="1">
        <f>P873*1400</f>
        <v>0</v>
      </c>
      <c r="R873" s="1">
        <v>0</v>
      </c>
      <c r="S873" s="1">
        <f>R873*3751</f>
        <v>0</v>
      </c>
      <c r="T873" s="1">
        <v>0</v>
      </c>
      <c r="U873" s="1">
        <v>50000</v>
      </c>
      <c r="V873" s="1">
        <v>0</v>
      </c>
      <c r="W873" s="1">
        <v>50000</v>
      </c>
      <c r="X873" s="1">
        <v>0</v>
      </c>
      <c r="Y873" s="1">
        <v>0</v>
      </c>
      <c r="Z873" s="1">
        <v>0</v>
      </c>
      <c r="AA873" s="1">
        <v>0</v>
      </c>
      <c r="AB873" s="1">
        <v>0</v>
      </c>
      <c r="AC873" s="1">
        <v>0</v>
      </c>
      <c r="AD873" s="1">
        <v>0</v>
      </c>
    </row>
    <row r="874" spans="1:30" s="20" customFormat="1" ht="36" customHeight="1" x14ac:dyDescent="0.25">
      <c r="A874" s="2">
        <f t="shared" si="459"/>
        <v>846</v>
      </c>
      <c r="B874" s="6">
        <f>A874</f>
        <v>846</v>
      </c>
      <c r="C874" s="19" t="s">
        <v>491</v>
      </c>
      <c r="D874" s="4">
        <f t="shared" si="476"/>
        <v>9037931.5</v>
      </c>
      <c r="E874" s="1">
        <f>SUM(F874:K874)</f>
        <v>8937931.5</v>
      </c>
      <c r="F874" s="1">
        <f>804*2277.18</f>
        <v>1830852.72</v>
      </c>
      <c r="G874" s="1">
        <f>1693*2277.18</f>
        <v>3855265.7399999998</v>
      </c>
      <c r="H874" s="1">
        <f>390*2277.18</f>
        <v>888100.2</v>
      </c>
      <c r="I874" s="1">
        <f>571*2277.18</f>
        <v>1300269.7799999998</v>
      </c>
      <c r="J874" s="1">
        <f>467*2277.18</f>
        <v>1063443.0599999998</v>
      </c>
      <c r="K874" s="1">
        <v>0</v>
      </c>
      <c r="L874" s="2">
        <v>0</v>
      </c>
      <c r="M874" s="1">
        <f>L874*3500000</f>
        <v>0</v>
      </c>
      <c r="N874" s="1">
        <v>0</v>
      </c>
      <c r="O874" s="1">
        <v>0</v>
      </c>
      <c r="P874" s="1">
        <v>0</v>
      </c>
      <c r="Q874" s="1">
        <v>0</v>
      </c>
      <c r="R874" s="1">
        <v>0</v>
      </c>
      <c r="S874" s="1">
        <f>R874*3751</f>
        <v>0</v>
      </c>
      <c r="T874" s="1">
        <v>0</v>
      </c>
      <c r="U874" s="1">
        <v>50000</v>
      </c>
      <c r="V874" s="1">
        <v>0</v>
      </c>
      <c r="W874" s="1">
        <v>50000</v>
      </c>
      <c r="X874" s="1">
        <v>0</v>
      </c>
      <c r="Y874" s="1">
        <v>0</v>
      </c>
      <c r="Z874" s="1">
        <v>0</v>
      </c>
      <c r="AA874" s="1">
        <v>0</v>
      </c>
      <c r="AB874" s="1">
        <v>0</v>
      </c>
      <c r="AC874" s="1">
        <v>0</v>
      </c>
      <c r="AD874" s="1">
        <v>0</v>
      </c>
    </row>
    <row r="875" spans="1:30" s="20" customFormat="1" ht="36" customHeight="1" x14ac:dyDescent="0.25">
      <c r="A875" s="2">
        <f t="shared" si="459"/>
        <v>847</v>
      </c>
      <c r="B875" s="6">
        <f>A875</f>
        <v>847</v>
      </c>
      <c r="C875" s="19" t="s">
        <v>492</v>
      </c>
      <c r="D875" s="4">
        <f t="shared" si="476"/>
        <v>2586425</v>
      </c>
      <c r="E875" s="1">
        <f>SUM(F875:K875)</f>
        <v>1173575</v>
      </c>
      <c r="F875" s="1">
        <f>804*299</f>
        <v>240396</v>
      </c>
      <c r="G875" s="1">
        <f>1693*299</f>
        <v>506207</v>
      </c>
      <c r="H875" s="1">
        <f>390*299</f>
        <v>116610</v>
      </c>
      <c r="I875" s="1">
        <f>571*299</f>
        <v>170729</v>
      </c>
      <c r="J875" s="1">
        <f>467*299</f>
        <v>139633</v>
      </c>
      <c r="K875" s="1">
        <v>0</v>
      </c>
      <c r="L875" s="2">
        <v>0</v>
      </c>
      <c r="M875" s="1">
        <f>L875*3500000</f>
        <v>0</v>
      </c>
      <c r="N875" s="1">
        <v>0</v>
      </c>
      <c r="O875" s="1">
        <v>0</v>
      </c>
      <c r="P875" s="1">
        <v>0</v>
      </c>
      <c r="Q875" s="1">
        <f>P875*1400</f>
        <v>0</v>
      </c>
      <c r="R875" s="1">
        <v>350</v>
      </c>
      <c r="S875" s="1">
        <f>R875*3751</f>
        <v>1312850</v>
      </c>
      <c r="T875" s="1">
        <v>0</v>
      </c>
      <c r="U875" s="1">
        <v>50000</v>
      </c>
      <c r="V875" s="1">
        <v>0</v>
      </c>
      <c r="W875" s="1">
        <v>50000</v>
      </c>
      <c r="X875" s="1">
        <v>0</v>
      </c>
      <c r="Y875" s="1">
        <v>0</v>
      </c>
      <c r="Z875" s="1">
        <v>0</v>
      </c>
      <c r="AA875" s="1">
        <v>0</v>
      </c>
      <c r="AB875" s="1">
        <v>0</v>
      </c>
      <c r="AC875" s="1">
        <v>0</v>
      </c>
      <c r="AD875" s="1">
        <v>0</v>
      </c>
    </row>
    <row r="876" spans="1:30" s="20" customFormat="1" ht="36" customHeight="1" x14ac:dyDescent="0.25">
      <c r="A876" s="2">
        <f t="shared" si="459"/>
        <v>848</v>
      </c>
      <c r="B876" s="6">
        <f>A876</f>
        <v>848</v>
      </c>
      <c r="C876" s="19" t="s">
        <v>494</v>
      </c>
      <c r="D876" s="4">
        <f t="shared" si="476"/>
        <v>8740002.5</v>
      </c>
      <c r="E876" s="1">
        <f>SUM(F876:K876)</f>
        <v>6539442.4999999991</v>
      </c>
      <c r="F876" s="1">
        <f>804*1666.1</f>
        <v>1339544.3999999999</v>
      </c>
      <c r="G876" s="1">
        <f>1693*1666.1</f>
        <v>2820707.3</v>
      </c>
      <c r="H876" s="1">
        <f>390*1666.1</f>
        <v>649779</v>
      </c>
      <c r="I876" s="1">
        <f>571*1666.1</f>
        <v>951343.1</v>
      </c>
      <c r="J876" s="1">
        <f>467*1666.1</f>
        <v>778068.7</v>
      </c>
      <c r="K876" s="1">
        <v>0</v>
      </c>
      <c r="L876" s="2">
        <v>0</v>
      </c>
      <c r="M876" s="1">
        <f>L876*3500000</f>
        <v>0</v>
      </c>
      <c r="N876" s="1">
        <v>0</v>
      </c>
      <c r="O876" s="1">
        <v>0</v>
      </c>
      <c r="P876" s="1">
        <v>0</v>
      </c>
      <c r="Q876" s="1">
        <f>P876*1400</f>
        <v>0</v>
      </c>
      <c r="R876" s="1">
        <v>560</v>
      </c>
      <c r="S876" s="1">
        <f>R876*3751</f>
        <v>2100560</v>
      </c>
      <c r="T876" s="1">
        <v>0</v>
      </c>
      <c r="U876" s="1">
        <v>50000</v>
      </c>
      <c r="V876" s="1">
        <v>0</v>
      </c>
      <c r="W876" s="1">
        <v>50000</v>
      </c>
      <c r="X876" s="1">
        <v>0</v>
      </c>
      <c r="Y876" s="1">
        <v>0</v>
      </c>
      <c r="Z876" s="1">
        <v>0</v>
      </c>
      <c r="AA876" s="1">
        <v>0</v>
      </c>
      <c r="AB876" s="1">
        <v>0</v>
      </c>
      <c r="AC876" s="1">
        <v>0</v>
      </c>
      <c r="AD876" s="1">
        <v>0</v>
      </c>
    </row>
    <row r="877" spans="1:30" s="20" customFormat="1" ht="36" customHeight="1" x14ac:dyDescent="0.25">
      <c r="A877" s="2">
        <f t="shared" si="459"/>
        <v>849</v>
      </c>
      <c r="B877" s="6">
        <f>A877</f>
        <v>849</v>
      </c>
      <c r="C877" s="19" t="s">
        <v>495</v>
      </c>
      <c r="D877" s="4">
        <f t="shared" si="476"/>
        <v>23666740.5</v>
      </c>
      <c r="E877" s="1">
        <f>SUM(F877:K877)</f>
        <v>14564340.5</v>
      </c>
      <c r="F877" s="1">
        <f>804*3710.66</f>
        <v>2983370.6399999997</v>
      </c>
      <c r="G877" s="1">
        <f>1693*3710.66</f>
        <v>6282147.3799999999</v>
      </c>
      <c r="H877" s="1">
        <f>390*3710.66</f>
        <v>1447157.4</v>
      </c>
      <c r="I877" s="1">
        <f>571*3710.66</f>
        <v>2118786.86</v>
      </c>
      <c r="J877" s="1">
        <f>467*3710.66</f>
        <v>1732878.22</v>
      </c>
      <c r="K877" s="1">
        <v>0</v>
      </c>
      <c r="L877" s="2">
        <v>0</v>
      </c>
      <c r="M877" s="1">
        <f>L877*3500000</f>
        <v>0</v>
      </c>
      <c r="N877" s="1">
        <v>0</v>
      </c>
      <c r="O877" s="1">
        <v>0</v>
      </c>
      <c r="P877" s="1">
        <v>0</v>
      </c>
      <c r="Q877" s="1">
        <f>P877*1400</f>
        <v>0</v>
      </c>
      <c r="R877" s="1">
        <v>2400</v>
      </c>
      <c r="S877" s="1">
        <f>R877*3751</f>
        <v>9002400</v>
      </c>
      <c r="T877" s="1">
        <v>0</v>
      </c>
      <c r="U877" s="1">
        <v>50000</v>
      </c>
      <c r="V877" s="1">
        <v>0</v>
      </c>
      <c r="W877" s="1">
        <v>50000</v>
      </c>
      <c r="X877" s="1">
        <v>0</v>
      </c>
      <c r="Y877" s="1">
        <v>0</v>
      </c>
      <c r="Z877" s="1">
        <v>0</v>
      </c>
      <c r="AA877" s="1">
        <v>0</v>
      </c>
      <c r="AB877" s="1">
        <v>0</v>
      </c>
      <c r="AC877" s="1">
        <v>0</v>
      </c>
      <c r="AD877" s="1">
        <v>0</v>
      </c>
    </row>
    <row r="878" spans="1:30" s="20" customFormat="1" ht="36" customHeight="1" x14ac:dyDescent="0.25">
      <c r="A878" s="2">
        <f t="shared" si="459"/>
        <v>850</v>
      </c>
      <c r="B878" s="6">
        <f t="shared" si="405"/>
        <v>850</v>
      </c>
      <c r="C878" s="19" t="s">
        <v>483</v>
      </c>
      <c r="D878" s="4">
        <f t="shared" si="476"/>
        <v>621200</v>
      </c>
      <c r="E878" s="1">
        <f t="shared" si="468"/>
        <v>571200</v>
      </c>
      <c r="F878" s="1">
        <v>0</v>
      </c>
      <c r="G878" s="1">
        <v>0</v>
      </c>
      <c r="H878" s="1">
        <f>390*400</f>
        <v>156000</v>
      </c>
      <c r="I878" s="1">
        <f>571*400</f>
        <v>228400</v>
      </c>
      <c r="J878" s="1">
        <f>467*400</f>
        <v>186800</v>
      </c>
      <c r="K878" s="1">
        <v>0</v>
      </c>
      <c r="L878" s="2">
        <v>0</v>
      </c>
      <c r="M878" s="1">
        <f t="shared" si="469"/>
        <v>0</v>
      </c>
      <c r="N878" s="1">
        <v>0</v>
      </c>
      <c r="O878" s="1">
        <v>0</v>
      </c>
      <c r="P878" s="1">
        <v>0</v>
      </c>
      <c r="Q878" s="1">
        <f t="shared" si="466"/>
        <v>0</v>
      </c>
      <c r="R878" s="1">
        <v>0</v>
      </c>
      <c r="S878" s="1">
        <f t="shared" si="467"/>
        <v>0</v>
      </c>
      <c r="T878" s="1">
        <v>0</v>
      </c>
      <c r="U878" s="1">
        <v>50000</v>
      </c>
      <c r="V878" s="1">
        <v>0</v>
      </c>
      <c r="W878" s="1">
        <v>0</v>
      </c>
      <c r="X878" s="1">
        <v>0</v>
      </c>
      <c r="Y878" s="1">
        <v>0</v>
      </c>
      <c r="Z878" s="1">
        <v>0</v>
      </c>
      <c r="AA878" s="1">
        <v>0</v>
      </c>
      <c r="AB878" s="1">
        <v>0</v>
      </c>
      <c r="AC878" s="1">
        <v>0</v>
      </c>
      <c r="AD878" s="1">
        <v>0</v>
      </c>
    </row>
    <row r="879" spans="1:30" s="20" customFormat="1" ht="36" customHeight="1" x14ac:dyDescent="0.25">
      <c r="A879" s="2">
        <f t="shared" si="459"/>
        <v>851</v>
      </c>
      <c r="B879" s="6">
        <f t="shared" si="405"/>
        <v>851</v>
      </c>
      <c r="C879" s="19" t="s">
        <v>484</v>
      </c>
      <c r="D879" s="4">
        <f t="shared" si="476"/>
        <v>6352823.1899999995</v>
      </c>
      <c r="E879" s="1">
        <f t="shared" si="468"/>
        <v>4077243.19</v>
      </c>
      <c r="F879" s="1">
        <v>0</v>
      </c>
      <c r="G879" s="1">
        <f>1693*1306.39</f>
        <v>2211718.27</v>
      </c>
      <c r="H879" s="1">
        <f>390*1306.39</f>
        <v>509492.10000000003</v>
      </c>
      <c r="I879" s="1">
        <f>571*1306.39</f>
        <v>745948.69000000006</v>
      </c>
      <c r="J879" s="1">
        <f>467*1306.39</f>
        <v>610084.13</v>
      </c>
      <c r="K879" s="1">
        <v>0</v>
      </c>
      <c r="L879" s="2">
        <v>0</v>
      </c>
      <c r="M879" s="1">
        <f t="shared" si="469"/>
        <v>0</v>
      </c>
      <c r="N879" s="1">
        <v>0</v>
      </c>
      <c r="O879" s="1">
        <v>0</v>
      </c>
      <c r="P879" s="1">
        <v>0</v>
      </c>
      <c r="Q879" s="1">
        <f t="shared" si="466"/>
        <v>0</v>
      </c>
      <c r="R879" s="1">
        <v>580</v>
      </c>
      <c r="S879" s="1">
        <f t="shared" si="467"/>
        <v>2175580</v>
      </c>
      <c r="T879" s="1">
        <v>0</v>
      </c>
      <c r="U879" s="1">
        <v>50000</v>
      </c>
      <c r="V879" s="1">
        <v>0</v>
      </c>
      <c r="W879" s="1">
        <v>50000</v>
      </c>
      <c r="X879" s="1">
        <v>0</v>
      </c>
      <c r="Y879" s="1">
        <v>0</v>
      </c>
      <c r="Z879" s="1">
        <v>0</v>
      </c>
      <c r="AA879" s="1">
        <v>0</v>
      </c>
      <c r="AB879" s="1">
        <v>0</v>
      </c>
      <c r="AC879" s="1">
        <v>0</v>
      </c>
      <c r="AD879" s="1">
        <v>0</v>
      </c>
    </row>
    <row r="880" spans="1:30" s="20" customFormat="1" ht="36" customHeight="1" x14ac:dyDescent="0.25">
      <c r="A880" s="2">
        <f t="shared" si="459"/>
        <v>852</v>
      </c>
      <c r="B880" s="6">
        <f t="shared" si="405"/>
        <v>852</v>
      </c>
      <c r="C880" s="19" t="s">
        <v>485</v>
      </c>
      <c r="D880" s="4">
        <f t="shared" si="476"/>
        <v>4409602.5</v>
      </c>
      <c r="E880" s="1">
        <f t="shared" si="468"/>
        <v>2134022.5</v>
      </c>
      <c r="F880" s="1">
        <f>804*543.7</f>
        <v>437134.80000000005</v>
      </c>
      <c r="G880" s="1">
        <f>1693*543.7</f>
        <v>920484.10000000009</v>
      </c>
      <c r="H880" s="1">
        <f>390*543.7</f>
        <v>212043.00000000003</v>
      </c>
      <c r="I880" s="1">
        <f>571*543.7</f>
        <v>310452.7</v>
      </c>
      <c r="J880" s="1">
        <f>467*543.7</f>
        <v>253907.90000000002</v>
      </c>
      <c r="K880" s="1">
        <v>0</v>
      </c>
      <c r="L880" s="2">
        <v>0</v>
      </c>
      <c r="M880" s="1">
        <f t="shared" si="469"/>
        <v>0</v>
      </c>
      <c r="N880" s="1">
        <v>0</v>
      </c>
      <c r="O880" s="1">
        <v>0</v>
      </c>
      <c r="P880" s="1">
        <v>0</v>
      </c>
      <c r="Q880" s="1">
        <f t="shared" si="466"/>
        <v>0</v>
      </c>
      <c r="R880" s="1">
        <v>580</v>
      </c>
      <c r="S880" s="1">
        <f t="shared" si="467"/>
        <v>2175580</v>
      </c>
      <c r="T880" s="1">
        <v>0</v>
      </c>
      <c r="U880" s="1">
        <v>50000</v>
      </c>
      <c r="V880" s="1">
        <v>0</v>
      </c>
      <c r="W880" s="1">
        <v>50000</v>
      </c>
      <c r="X880" s="1">
        <v>0</v>
      </c>
      <c r="Y880" s="1">
        <v>0</v>
      </c>
      <c r="Z880" s="1">
        <v>0</v>
      </c>
      <c r="AA880" s="1">
        <v>0</v>
      </c>
      <c r="AB880" s="1">
        <v>0</v>
      </c>
      <c r="AC880" s="1">
        <v>0</v>
      </c>
      <c r="AD880" s="1">
        <v>0</v>
      </c>
    </row>
    <row r="881" spans="1:30" s="20" customFormat="1" ht="36" customHeight="1" x14ac:dyDescent="0.25">
      <c r="A881" s="2">
        <f t="shared" si="459"/>
        <v>853</v>
      </c>
      <c r="B881" s="6">
        <f>A881</f>
        <v>853</v>
      </c>
      <c r="C881" s="19" t="s">
        <v>1035</v>
      </c>
      <c r="D881" s="4">
        <f t="shared" si="476"/>
        <v>11345286.5</v>
      </c>
      <c r="E881" s="1">
        <f t="shared" si="468"/>
        <v>11295286.5</v>
      </c>
      <c r="F881" s="1">
        <f>804*2877.78</f>
        <v>2313735.12</v>
      </c>
      <c r="G881" s="1">
        <f>1693*2877.78</f>
        <v>4872081.54</v>
      </c>
      <c r="H881" s="1">
        <f>390*2877.78</f>
        <v>1122334.2000000002</v>
      </c>
      <c r="I881" s="1">
        <f>571*2877.78</f>
        <v>1643212.3800000001</v>
      </c>
      <c r="J881" s="1">
        <f>467*2877.78</f>
        <v>1343923.26</v>
      </c>
      <c r="K881" s="1">
        <v>0</v>
      </c>
      <c r="L881" s="2">
        <v>0</v>
      </c>
      <c r="M881" s="1">
        <f t="shared" si="469"/>
        <v>0</v>
      </c>
      <c r="N881" s="1">
        <v>0</v>
      </c>
      <c r="O881" s="1">
        <v>0</v>
      </c>
      <c r="P881" s="1">
        <v>0</v>
      </c>
      <c r="Q881" s="1">
        <f t="shared" si="466"/>
        <v>0</v>
      </c>
      <c r="R881" s="1">
        <v>0</v>
      </c>
      <c r="S881" s="1">
        <f t="shared" si="467"/>
        <v>0</v>
      </c>
      <c r="T881" s="1">
        <v>0</v>
      </c>
      <c r="U881" s="1">
        <v>50000</v>
      </c>
      <c r="V881" s="1">
        <v>0</v>
      </c>
      <c r="W881" s="1">
        <v>0</v>
      </c>
      <c r="X881" s="1">
        <v>0</v>
      </c>
      <c r="Y881" s="1">
        <v>0</v>
      </c>
      <c r="Z881" s="1">
        <v>0</v>
      </c>
      <c r="AA881" s="1">
        <v>0</v>
      </c>
      <c r="AB881" s="1">
        <v>0</v>
      </c>
      <c r="AC881" s="1">
        <v>0</v>
      </c>
      <c r="AD881" s="1">
        <v>0</v>
      </c>
    </row>
    <row r="882" spans="1:30" s="20" customFormat="1" ht="36" customHeight="1" x14ac:dyDescent="0.25">
      <c r="A882" s="2">
        <f t="shared" si="459"/>
        <v>854</v>
      </c>
      <c r="B882" s="6">
        <f t="shared" si="405"/>
        <v>854</v>
      </c>
      <c r="C882" s="19" t="s">
        <v>486</v>
      </c>
      <c r="D882" s="4">
        <f t="shared" si="476"/>
        <v>7325147.5</v>
      </c>
      <c r="E882" s="1">
        <f t="shared" si="468"/>
        <v>3849247.5000000005</v>
      </c>
      <c r="F882" s="1">
        <f>804*980.7</f>
        <v>788482.8</v>
      </c>
      <c r="G882" s="1">
        <f>1693*980.7</f>
        <v>1660325.1</v>
      </c>
      <c r="H882" s="1">
        <f>390*980.7</f>
        <v>382473</v>
      </c>
      <c r="I882" s="1">
        <f>571*980.7</f>
        <v>559979.70000000007</v>
      </c>
      <c r="J882" s="1">
        <f>467*980.7</f>
        <v>457986.9</v>
      </c>
      <c r="K882" s="1">
        <v>0</v>
      </c>
      <c r="L882" s="2">
        <v>0</v>
      </c>
      <c r="M882" s="1">
        <f t="shared" si="469"/>
        <v>0</v>
      </c>
      <c r="N882" s="1">
        <v>0</v>
      </c>
      <c r="O882" s="1">
        <v>0</v>
      </c>
      <c r="P882" s="1">
        <v>0</v>
      </c>
      <c r="Q882" s="1">
        <f t="shared" si="466"/>
        <v>0</v>
      </c>
      <c r="R882" s="1">
        <v>900</v>
      </c>
      <c r="S882" s="1">
        <f t="shared" si="467"/>
        <v>3375900</v>
      </c>
      <c r="T882" s="1">
        <v>0</v>
      </c>
      <c r="U882" s="1">
        <v>50000</v>
      </c>
      <c r="V882" s="1">
        <v>0</v>
      </c>
      <c r="W882" s="1">
        <v>50000</v>
      </c>
      <c r="X882" s="1">
        <v>0</v>
      </c>
      <c r="Y882" s="1">
        <v>0</v>
      </c>
      <c r="Z882" s="1">
        <v>0</v>
      </c>
      <c r="AA882" s="1">
        <v>0</v>
      </c>
      <c r="AB882" s="1">
        <v>0</v>
      </c>
      <c r="AC882" s="1">
        <v>0</v>
      </c>
      <c r="AD882" s="1">
        <v>0</v>
      </c>
    </row>
    <row r="883" spans="1:30" s="20" customFormat="1" ht="36" customHeight="1" x14ac:dyDescent="0.25">
      <c r="A883" s="2">
        <f t="shared" si="459"/>
        <v>855</v>
      </c>
      <c r="B883" s="6">
        <f t="shared" si="405"/>
        <v>855</v>
      </c>
      <c r="C883" s="19" t="s">
        <v>487</v>
      </c>
      <c r="D883" s="4">
        <f t="shared" si="476"/>
        <v>6077238.5</v>
      </c>
      <c r="E883" s="1">
        <f t="shared" si="468"/>
        <v>2775760</v>
      </c>
      <c r="F883" s="1">
        <f>804*707.2</f>
        <v>568588.80000000005</v>
      </c>
      <c r="G883" s="1">
        <f>1693*707.2</f>
        <v>1197289.6000000001</v>
      </c>
      <c r="H883" s="1">
        <f>390*707.2</f>
        <v>275808</v>
      </c>
      <c r="I883" s="1">
        <f>571*707.2</f>
        <v>403811.2</v>
      </c>
      <c r="J883" s="1">
        <f>467*707.2</f>
        <v>330262.40000000002</v>
      </c>
      <c r="K883" s="1">
        <v>0</v>
      </c>
      <c r="L883" s="2">
        <v>0</v>
      </c>
      <c r="M883" s="1">
        <f t="shared" si="469"/>
        <v>0</v>
      </c>
      <c r="N883" s="1">
        <v>0</v>
      </c>
      <c r="O883" s="1">
        <v>0</v>
      </c>
      <c r="P883" s="1">
        <v>0</v>
      </c>
      <c r="Q883" s="1">
        <f t="shared" si="466"/>
        <v>0</v>
      </c>
      <c r="R883" s="1">
        <v>853.5</v>
      </c>
      <c r="S883" s="1">
        <f t="shared" si="467"/>
        <v>3201478.5</v>
      </c>
      <c r="T883" s="1">
        <v>0</v>
      </c>
      <c r="U883" s="1">
        <v>50000</v>
      </c>
      <c r="V883" s="1">
        <v>0</v>
      </c>
      <c r="W883" s="1">
        <v>50000</v>
      </c>
      <c r="X883" s="1">
        <v>0</v>
      </c>
      <c r="Y883" s="1">
        <v>0</v>
      </c>
      <c r="Z883" s="1">
        <v>0</v>
      </c>
      <c r="AA883" s="1">
        <v>0</v>
      </c>
      <c r="AB883" s="1">
        <v>0</v>
      </c>
      <c r="AC883" s="1">
        <v>0</v>
      </c>
      <c r="AD883" s="1">
        <v>0</v>
      </c>
    </row>
    <row r="884" spans="1:30" s="20" customFormat="1" ht="36" customHeight="1" x14ac:dyDescent="0.25">
      <c r="A884" s="2">
        <f t="shared" si="459"/>
        <v>856</v>
      </c>
      <c r="B884" s="6">
        <f t="shared" si="405"/>
        <v>856</v>
      </c>
      <c r="C884" s="19" t="s">
        <v>488</v>
      </c>
      <c r="D884" s="4">
        <f t="shared" si="476"/>
        <v>2938497.5</v>
      </c>
      <c r="E884" s="1">
        <f t="shared" si="468"/>
        <v>1525647.4999999998</v>
      </c>
      <c r="F884" s="1">
        <f>804*388.7</f>
        <v>312514.8</v>
      </c>
      <c r="G884" s="1">
        <f>1693*388.7</f>
        <v>658069.1</v>
      </c>
      <c r="H884" s="1">
        <f>390*388.7</f>
        <v>151593</v>
      </c>
      <c r="I884" s="1">
        <f>571*388.7</f>
        <v>221947.69999999998</v>
      </c>
      <c r="J884" s="1">
        <f>467*388.7</f>
        <v>181522.9</v>
      </c>
      <c r="K884" s="1">
        <v>0</v>
      </c>
      <c r="L884" s="2">
        <v>0</v>
      </c>
      <c r="M884" s="1">
        <f t="shared" si="469"/>
        <v>0</v>
      </c>
      <c r="N884" s="1">
        <v>0</v>
      </c>
      <c r="O884" s="1">
        <v>0</v>
      </c>
      <c r="P884" s="1">
        <v>0</v>
      </c>
      <c r="Q884" s="1">
        <f t="shared" si="466"/>
        <v>0</v>
      </c>
      <c r="R884" s="1">
        <v>350</v>
      </c>
      <c r="S884" s="1">
        <f t="shared" si="467"/>
        <v>1312850</v>
      </c>
      <c r="T884" s="1">
        <v>0</v>
      </c>
      <c r="U884" s="1">
        <v>50000</v>
      </c>
      <c r="V884" s="1">
        <v>0</v>
      </c>
      <c r="W884" s="1">
        <v>50000</v>
      </c>
      <c r="X884" s="1">
        <v>0</v>
      </c>
      <c r="Y884" s="1">
        <v>0</v>
      </c>
      <c r="Z884" s="1">
        <v>0</v>
      </c>
      <c r="AA884" s="1">
        <v>0</v>
      </c>
      <c r="AB884" s="1">
        <v>0</v>
      </c>
      <c r="AC884" s="1">
        <v>0</v>
      </c>
      <c r="AD884" s="1">
        <v>0</v>
      </c>
    </row>
    <row r="885" spans="1:30" s="20" customFormat="1" ht="36" customHeight="1" x14ac:dyDescent="0.25">
      <c r="A885" s="2">
        <f t="shared" si="459"/>
        <v>857</v>
      </c>
      <c r="B885" s="6">
        <f t="shared" si="405"/>
        <v>857</v>
      </c>
      <c r="C885" s="19" t="s">
        <v>489</v>
      </c>
      <c r="D885" s="4">
        <f t="shared" si="476"/>
        <v>3389911.75</v>
      </c>
      <c r="E885" s="1">
        <f t="shared" si="468"/>
        <v>1977061.7499999998</v>
      </c>
      <c r="F885" s="1">
        <f>804*503.71</f>
        <v>404982.83999999997</v>
      </c>
      <c r="G885" s="1">
        <f>1693*503.71</f>
        <v>852781.02999999991</v>
      </c>
      <c r="H885" s="1">
        <f>390*503.71</f>
        <v>196446.9</v>
      </c>
      <c r="I885" s="1">
        <f>571*503.71</f>
        <v>287618.40999999997</v>
      </c>
      <c r="J885" s="1">
        <f>467*503.71</f>
        <v>235232.56999999998</v>
      </c>
      <c r="K885" s="1">
        <v>0</v>
      </c>
      <c r="L885" s="2">
        <v>0</v>
      </c>
      <c r="M885" s="1">
        <f t="shared" si="469"/>
        <v>0</v>
      </c>
      <c r="N885" s="1">
        <v>0</v>
      </c>
      <c r="O885" s="1">
        <v>0</v>
      </c>
      <c r="P885" s="1">
        <v>0</v>
      </c>
      <c r="Q885" s="1">
        <f t="shared" si="466"/>
        <v>0</v>
      </c>
      <c r="R885" s="1">
        <v>350</v>
      </c>
      <c r="S885" s="1">
        <f t="shared" si="467"/>
        <v>1312850</v>
      </c>
      <c r="T885" s="1">
        <v>0</v>
      </c>
      <c r="U885" s="1">
        <v>50000</v>
      </c>
      <c r="V885" s="1">
        <v>0</v>
      </c>
      <c r="W885" s="1">
        <v>50000</v>
      </c>
      <c r="X885" s="1">
        <v>0</v>
      </c>
      <c r="Y885" s="1">
        <v>0</v>
      </c>
      <c r="Z885" s="1">
        <v>0</v>
      </c>
      <c r="AA885" s="1">
        <v>0</v>
      </c>
      <c r="AB885" s="1">
        <v>0</v>
      </c>
      <c r="AC885" s="1">
        <v>0</v>
      </c>
      <c r="AD885" s="1">
        <v>0</v>
      </c>
    </row>
    <row r="886" spans="1:30" s="20" customFormat="1" ht="36" customHeight="1" x14ac:dyDescent="0.25">
      <c r="A886" s="2">
        <f t="shared" si="459"/>
        <v>858</v>
      </c>
      <c r="B886" s="6">
        <f t="shared" si="405"/>
        <v>858</v>
      </c>
      <c r="C886" s="19" t="s">
        <v>490</v>
      </c>
      <c r="D886" s="4">
        <f t="shared" si="476"/>
        <v>3354037.25</v>
      </c>
      <c r="E886" s="1">
        <f t="shared" si="468"/>
        <v>1941187.25</v>
      </c>
      <c r="F886" s="1">
        <f>804*494.57</f>
        <v>397634.27999999997</v>
      </c>
      <c r="G886" s="1">
        <f>1693*494.57</f>
        <v>837307.01</v>
      </c>
      <c r="H886" s="1">
        <f>390*494.57</f>
        <v>192882.3</v>
      </c>
      <c r="I886" s="1">
        <f>571*494.57</f>
        <v>282399.46999999997</v>
      </c>
      <c r="J886" s="1">
        <f>467*494.57</f>
        <v>230964.19</v>
      </c>
      <c r="K886" s="1">
        <v>0</v>
      </c>
      <c r="L886" s="2">
        <v>0</v>
      </c>
      <c r="M886" s="1">
        <f t="shared" si="469"/>
        <v>0</v>
      </c>
      <c r="N886" s="1">
        <v>0</v>
      </c>
      <c r="O886" s="1">
        <v>0</v>
      </c>
      <c r="P886" s="1">
        <v>0</v>
      </c>
      <c r="Q886" s="1">
        <f t="shared" si="466"/>
        <v>0</v>
      </c>
      <c r="R886" s="1">
        <v>350</v>
      </c>
      <c r="S886" s="1">
        <f t="shared" si="467"/>
        <v>1312850</v>
      </c>
      <c r="T886" s="1">
        <v>0</v>
      </c>
      <c r="U886" s="1">
        <v>50000</v>
      </c>
      <c r="V886" s="1">
        <v>0</v>
      </c>
      <c r="W886" s="1">
        <v>50000</v>
      </c>
      <c r="X886" s="1">
        <v>0</v>
      </c>
      <c r="Y886" s="1">
        <v>0</v>
      </c>
      <c r="Z886" s="1">
        <v>0</v>
      </c>
      <c r="AA886" s="1">
        <v>0</v>
      </c>
      <c r="AB886" s="1">
        <v>0</v>
      </c>
      <c r="AC886" s="1">
        <v>0</v>
      </c>
      <c r="AD886" s="1">
        <v>0</v>
      </c>
    </row>
    <row r="887" spans="1:30" s="20" customFormat="1" ht="36" customHeight="1" x14ac:dyDescent="0.25">
      <c r="A887" s="2">
        <f t="shared" si="459"/>
        <v>859</v>
      </c>
      <c r="B887" s="2">
        <f>A887</f>
        <v>859</v>
      </c>
      <c r="C887" s="19" t="s">
        <v>1036</v>
      </c>
      <c r="D887" s="39">
        <f t="shared" si="476"/>
        <v>868023.6399999999</v>
      </c>
      <c r="E887" s="1">
        <f t="shared" si="468"/>
        <v>818023.6399999999</v>
      </c>
      <c r="F887" s="1">
        <v>0</v>
      </c>
      <c r="G887" s="1">
        <v>0</v>
      </c>
      <c r="H887" s="1">
        <f>390*954.52</f>
        <v>372262.8</v>
      </c>
      <c r="I887" s="1">
        <v>0</v>
      </c>
      <c r="J887" s="1">
        <f>467*954.52</f>
        <v>445760.83999999997</v>
      </c>
      <c r="K887" s="1">
        <v>0</v>
      </c>
      <c r="L887" s="2">
        <v>0</v>
      </c>
      <c r="M887" s="1">
        <f t="shared" si="469"/>
        <v>0</v>
      </c>
      <c r="N887" s="1">
        <v>0</v>
      </c>
      <c r="O887" s="1">
        <v>0</v>
      </c>
      <c r="P887" s="1">
        <v>0</v>
      </c>
      <c r="Q887" s="1">
        <f t="shared" si="466"/>
        <v>0</v>
      </c>
      <c r="R887" s="1">
        <v>0</v>
      </c>
      <c r="S887" s="1">
        <f t="shared" si="467"/>
        <v>0</v>
      </c>
      <c r="T887" s="1">
        <v>0</v>
      </c>
      <c r="U887" s="1">
        <v>50000</v>
      </c>
      <c r="V887" s="1">
        <v>0</v>
      </c>
      <c r="W887" s="1">
        <v>0</v>
      </c>
      <c r="X887" s="1">
        <v>0</v>
      </c>
      <c r="Y887" s="1">
        <v>0</v>
      </c>
      <c r="Z887" s="1">
        <v>0</v>
      </c>
      <c r="AA887" s="1">
        <v>0</v>
      </c>
      <c r="AB887" s="1">
        <v>0</v>
      </c>
      <c r="AC887" s="1">
        <v>0</v>
      </c>
      <c r="AD887" s="1">
        <v>0</v>
      </c>
    </row>
    <row r="888" spans="1:30" s="20" customFormat="1" ht="36" customHeight="1" x14ac:dyDescent="0.25">
      <c r="A888" s="2">
        <f t="shared" si="459"/>
        <v>860</v>
      </c>
      <c r="B888" s="2">
        <f t="shared" si="405"/>
        <v>860</v>
      </c>
      <c r="C888" s="19" t="s">
        <v>496</v>
      </c>
      <c r="D888" s="39">
        <f t="shared" si="476"/>
        <v>8090195.7999999998</v>
      </c>
      <c r="E888" s="1">
        <f t="shared" si="468"/>
        <v>6267361.5</v>
      </c>
      <c r="F888" s="1">
        <f>804*1596.78</f>
        <v>1283811.1199999999</v>
      </c>
      <c r="G888" s="1">
        <f>1693*1596.78</f>
        <v>2703348.54</v>
      </c>
      <c r="H888" s="1">
        <f>390*1596.78</f>
        <v>622744.19999999995</v>
      </c>
      <c r="I888" s="1">
        <f>571*1596.78</f>
        <v>911761.38</v>
      </c>
      <c r="J888" s="1">
        <f>467*1596.78</f>
        <v>745696.26</v>
      </c>
      <c r="K888" s="1">
        <v>0</v>
      </c>
      <c r="L888" s="2">
        <v>0</v>
      </c>
      <c r="M888" s="1">
        <f t="shared" si="469"/>
        <v>0</v>
      </c>
      <c r="N888" s="1">
        <v>0</v>
      </c>
      <c r="O888" s="1">
        <v>0</v>
      </c>
      <c r="P888" s="1">
        <v>0</v>
      </c>
      <c r="Q888" s="1">
        <f t="shared" si="466"/>
        <v>0</v>
      </c>
      <c r="R888" s="1">
        <v>459.3</v>
      </c>
      <c r="S888" s="1">
        <f t="shared" si="467"/>
        <v>1722834.3</v>
      </c>
      <c r="T888" s="1">
        <v>0</v>
      </c>
      <c r="U888" s="1">
        <v>50000</v>
      </c>
      <c r="V888" s="1">
        <v>0</v>
      </c>
      <c r="W888" s="1">
        <v>50000</v>
      </c>
      <c r="X888" s="1">
        <v>0</v>
      </c>
      <c r="Y888" s="1">
        <v>0</v>
      </c>
      <c r="Z888" s="1">
        <v>0</v>
      </c>
      <c r="AA888" s="1">
        <v>0</v>
      </c>
      <c r="AB888" s="1">
        <v>0</v>
      </c>
      <c r="AC888" s="1">
        <v>0</v>
      </c>
      <c r="AD888" s="1">
        <v>0</v>
      </c>
    </row>
    <row r="889" spans="1:30" s="20" customFormat="1" ht="36" customHeight="1" x14ac:dyDescent="0.25">
      <c r="A889" s="2">
        <f t="shared" si="459"/>
        <v>861</v>
      </c>
      <c r="B889" s="6">
        <f t="shared" ref="B889:B976" si="477">A889</f>
        <v>861</v>
      </c>
      <c r="C889" s="19" t="s">
        <v>497</v>
      </c>
      <c r="D889" s="4">
        <f t="shared" si="476"/>
        <v>4419585</v>
      </c>
      <c r="E889" s="1">
        <f t="shared" si="468"/>
        <v>2181515</v>
      </c>
      <c r="F889" s="1">
        <f>804*555.8</f>
        <v>446863.19999999995</v>
      </c>
      <c r="G889" s="1">
        <f>1693*555.8</f>
        <v>940969.39999999991</v>
      </c>
      <c r="H889" s="1">
        <f>390*555.8</f>
        <v>216761.99999999997</v>
      </c>
      <c r="I889" s="1">
        <f>571*555.8</f>
        <v>317361.8</v>
      </c>
      <c r="J889" s="1">
        <f>467*555.8</f>
        <v>259558.59999999998</v>
      </c>
      <c r="K889" s="1">
        <v>0</v>
      </c>
      <c r="L889" s="2">
        <v>0</v>
      </c>
      <c r="M889" s="1">
        <f t="shared" si="469"/>
        <v>0</v>
      </c>
      <c r="N889" s="1">
        <v>0</v>
      </c>
      <c r="O889" s="1">
        <v>0</v>
      </c>
      <c r="P889" s="1">
        <v>0</v>
      </c>
      <c r="Q889" s="1">
        <f t="shared" si="466"/>
        <v>0</v>
      </c>
      <c r="R889" s="1">
        <v>570</v>
      </c>
      <c r="S889" s="1">
        <f t="shared" si="467"/>
        <v>2138070</v>
      </c>
      <c r="T889" s="1">
        <v>0</v>
      </c>
      <c r="U889" s="1">
        <v>50000</v>
      </c>
      <c r="V889" s="1">
        <v>0</v>
      </c>
      <c r="W889" s="1">
        <v>50000</v>
      </c>
      <c r="X889" s="1">
        <v>0</v>
      </c>
      <c r="Y889" s="1">
        <v>0</v>
      </c>
      <c r="Z889" s="1">
        <v>0</v>
      </c>
      <c r="AA889" s="1">
        <v>0</v>
      </c>
      <c r="AB889" s="1">
        <v>0</v>
      </c>
      <c r="AC889" s="1">
        <v>0</v>
      </c>
      <c r="AD889" s="1">
        <v>0</v>
      </c>
    </row>
    <row r="890" spans="1:30" s="20" customFormat="1" ht="36" customHeight="1" x14ac:dyDescent="0.25">
      <c r="A890" s="2">
        <f t="shared" si="459"/>
        <v>862</v>
      </c>
      <c r="B890" s="6">
        <f t="shared" si="477"/>
        <v>862</v>
      </c>
      <c r="C890" s="19" t="s">
        <v>498</v>
      </c>
      <c r="D890" s="4">
        <f t="shared" si="476"/>
        <v>3394703.9</v>
      </c>
      <c r="E890" s="1">
        <f t="shared" si="468"/>
        <v>1104495</v>
      </c>
      <c r="F890" s="1">
        <f>804*281.4</f>
        <v>226245.59999999998</v>
      </c>
      <c r="G890" s="1">
        <f>1693*281.4</f>
        <v>476410.19999999995</v>
      </c>
      <c r="H890" s="1">
        <f>390*281.4</f>
        <v>109745.99999999999</v>
      </c>
      <c r="I890" s="1">
        <f>571*281.4</f>
        <v>160679.4</v>
      </c>
      <c r="J890" s="1">
        <f>467*281.4</f>
        <v>131413.79999999999</v>
      </c>
      <c r="K890" s="1">
        <v>0</v>
      </c>
      <c r="L890" s="2">
        <v>0</v>
      </c>
      <c r="M890" s="1">
        <f t="shared" si="469"/>
        <v>0</v>
      </c>
      <c r="N890" s="1">
        <v>0</v>
      </c>
      <c r="O890" s="1">
        <v>0</v>
      </c>
      <c r="P890" s="1">
        <v>0</v>
      </c>
      <c r="Q890" s="1">
        <f t="shared" si="466"/>
        <v>0</v>
      </c>
      <c r="R890" s="1">
        <v>583.9</v>
      </c>
      <c r="S890" s="1">
        <f t="shared" si="467"/>
        <v>2190208.9</v>
      </c>
      <c r="T890" s="1">
        <v>0</v>
      </c>
      <c r="U890" s="1">
        <v>50000</v>
      </c>
      <c r="V890" s="1">
        <v>0</v>
      </c>
      <c r="W890" s="1">
        <v>50000</v>
      </c>
      <c r="X890" s="1">
        <v>0</v>
      </c>
      <c r="Y890" s="1">
        <v>0</v>
      </c>
      <c r="Z890" s="1">
        <v>0</v>
      </c>
      <c r="AA890" s="1">
        <v>0</v>
      </c>
      <c r="AB890" s="1">
        <v>0</v>
      </c>
      <c r="AC890" s="1">
        <v>0</v>
      </c>
      <c r="AD890" s="1">
        <v>0</v>
      </c>
    </row>
    <row r="891" spans="1:30" s="20" customFormat="1" ht="36" customHeight="1" x14ac:dyDescent="0.25">
      <c r="A891" s="2">
        <f t="shared" si="459"/>
        <v>863</v>
      </c>
      <c r="B891" s="6">
        <f>A891</f>
        <v>863</v>
      </c>
      <c r="C891" s="19" t="s">
        <v>1744</v>
      </c>
      <c r="D891" s="4">
        <f t="shared" si="476"/>
        <v>14200000</v>
      </c>
      <c r="E891" s="1">
        <f>SUM(F891:K891)</f>
        <v>0</v>
      </c>
      <c r="F891" s="1">
        <v>0</v>
      </c>
      <c r="G891" s="1">
        <v>0</v>
      </c>
      <c r="H891" s="1">
        <v>0</v>
      </c>
      <c r="I891" s="1">
        <v>0</v>
      </c>
      <c r="J891" s="1">
        <v>0</v>
      </c>
      <c r="K891" s="1">
        <v>0</v>
      </c>
      <c r="L891" s="2">
        <v>4</v>
      </c>
      <c r="M891" s="1">
        <f>L891*3500000</f>
        <v>14000000</v>
      </c>
      <c r="N891" s="1">
        <v>0</v>
      </c>
      <c r="O891" s="1">
        <v>0</v>
      </c>
      <c r="P891" s="1">
        <v>0</v>
      </c>
      <c r="Q891" s="1">
        <f>P891*1400</f>
        <v>0</v>
      </c>
      <c r="R891" s="1">
        <v>0</v>
      </c>
      <c r="S891" s="1">
        <f>R891*3751</f>
        <v>0</v>
      </c>
      <c r="T891" s="1">
        <v>0</v>
      </c>
      <c r="U891" s="1">
        <v>200000</v>
      </c>
      <c r="V891" s="1">
        <v>0</v>
      </c>
      <c r="W891" s="1">
        <v>0</v>
      </c>
      <c r="X891" s="1">
        <v>0</v>
      </c>
      <c r="Y891" s="1">
        <v>0</v>
      </c>
      <c r="Z891" s="1">
        <v>0</v>
      </c>
      <c r="AA891" s="1">
        <v>0</v>
      </c>
      <c r="AB891" s="1">
        <v>0</v>
      </c>
      <c r="AC891" s="1">
        <v>0</v>
      </c>
      <c r="AD891" s="1">
        <v>0</v>
      </c>
    </row>
    <row r="892" spans="1:30" s="20" customFormat="1" ht="36" customHeight="1" x14ac:dyDescent="0.25">
      <c r="A892" s="2">
        <f t="shared" si="459"/>
        <v>864</v>
      </c>
      <c r="B892" s="6">
        <f t="shared" si="477"/>
        <v>864</v>
      </c>
      <c r="C892" s="19" t="s">
        <v>499</v>
      </c>
      <c r="D892" s="4">
        <f t="shared" si="476"/>
        <v>2939933.75</v>
      </c>
      <c r="E892" s="1">
        <f t="shared" si="468"/>
        <v>2839933.75</v>
      </c>
      <c r="F892" s="1">
        <f>804*723.55</f>
        <v>581734.19999999995</v>
      </c>
      <c r="G892" s="1">
        <f>1693*723.55</f>
        <v>1224970.1499999999</v>
      </c>
      <c r="H892" s="1">
        <f>390*723.55</f>
        <v>282184.5</v>
      </c>
      <c r="I892" s="1">
        <f>571*723.55</f>
        <v>413147.05</v>
      </c>
      <c r="J892" s="1">
        <f>467*723.55</f>
        <v>337897.85</v>
      </c>
      <c r="K892" s="1">
        <v>0</v>
      </c>
      <c r="L892" s="2">
        <v>0</v>
      </c>
      <c r="M892" s="1">
        <f t="shared" si="469"/>
        <v>0</v>
      </c>
      <c r="N892" s="1">
        <v>0</v>
      </c>
      <c r="O892" s="1">
        <v>0</v>
      </c>
      <c r="P892" s="1">
        <v>0</v>
      </c>
      <c r="Q892" s="1">
        <f t="shared" si="466"/>
        <v>0</v>
      </c>
      <c r="R892" s="1">
        <v>0</v>
      </c>
      <c r="S892" s="1">
        <f t="shared" si="467"/>
        <v>0</v>
      </c>
      <c r="T892" s="1">
        <v>0</v>
      </c>
      <c r="U892" s="1">
        <v>50000</v>
      </c>
      <c r="V892" s="1">
        <v>0</v>
      </c>
      <c r="W892" s="1">
        <v>50000</v>
      </c>
      <c r="X892" s="1">
        <v>0</v>
      </c>
      <c r="Y892" s="1">
        <v>0</v>
      </c>
      <c r="Z892" s="1">
        <v>0</v>
      </c>
      <c r="AA892" s="1">
        <v>0</v>
      </c>
      <c r="AB892" s="1">
        <v>0</v>
      </c>
      <c r="AC892" s="1">
        <v>0</v>
      </c>
      <c r="AD892" s="1">
        <v>0</v>
      </c>
    </row>
    <row r="893" spans="1:30" s="20" customFormat="1" ht="36" customHeight="1" x14ac:dyDescent="0.25">
      <c r="A893" s="2">
        <f t="shared" si="459"/>
        <v>865</v>
      </c>
      <c r="B893" s="6">
        <f t="shared" si="477"/>
        <v>865</v>
      </c>
      <c r="C893" s="19" t="s">
        <v>500</v>
      </c>
      <c r="D893" s="4">
        <f t="shared" si="476"/>
        <v>2968389.9999999995</v>
      </c>
      <c r="E893" s="1">
        <f t="shared" si="468"/>
        <v>2868389.9999999995</v>
      </c>
      <c r="F893" s="1">
        <f>804*730.8</f>
        <v>587563.19999999995</v>
      </c>
      <c r="G893" s="1">
        <f>1693*730.8</f>
        <v>1237244.3999999999</v>
      </c>
      <c r="H893" s="1">
        <f>390*730.8</f>
        <v>285012</v>
      </c>
      <c r="I893" s="1">
        <f>571*730.8</f>
        <v>417286.8</v>
      </c>
      <c r="J893" s="1">
        <f>467*730.8</f>
        <v>341283.6</v>
      </c>
      <c r="K893" s="1">
        <v>0</v>
      </c>
      <c r="L893" s="2">
        <v>0</v>
      </c>
      <c r="M893" s="1">
        <f t="shared" si="469"/>
        <v>0</v>
      </c>
      <c r="N893" s="1">
        <v>0</v>
      </c>
      <c r="O893" s="1">
        <v>0</v>
      </c>
      <c r="P893" s="1">
        <v>0</v>
      </c>
      <c r="Q893" s="1">
        <f t="shared" si="466"/>
        <v>0</v>
      </c>
      <c r="R893" s="1">
        <v>0</v>
      </c>
      <c r="S893" s="1">
        <f t="shared" si="467"/>
        <v>0</v>
      </c>
      <c r="T893" s="1">
        <v>0</v>
      </c>
      <c r="U893" s="1">
        <v>50000</v>
      </c>
      <c r="V893" s="1">
        <v>0</v>
      </c>
      <c r="W893" s="1">
        <v>50000</v>
      </c>
      <c r="X893" s="1">
        <v>0</v>
      </c>
      <c r="Y893" s="1">
        <v>0</v>
      </c>
      <c r="Z893" s="1">
        <v>0</v>
      </c>
      <c r="AA893" s="1">
        <v>0</v>
      </c>
      <c r="AB893" s="1">
        <v>0</v>
      </c>
      <c r="AC893" s="1">
        <v>0</v>
      </c>
      <c r="AD893" s="1">
        <v>0</v>
      </c>
    </row>
    <row r="894" spans="1:30" s="20" customFormat="1" ht="36" customHeight="1" x14ac:dyDescent="0.25">
      <c r="A894" s="2">
        <f t="shared" si="459"/>
        <v>866</v>
      </c>
      <c r="B894" s="6">
        <f t="shared" si="477"/>
        <v>866</v>
      </c>
      <c r="C894" s="31" t="s">
        <v>501</v>
      </c>
      <c r="D894" s="4">
        <f t="shared" si="476"/>
        <v>11031517.499999998</v>
      </c>
      <c r="E894" s="1">
        <f t="shared" si="468"/>
        <v>10931517.499999998</v>
      </c>
      <c r="F894" s="1">
        <f>804*2785.1</f>
        <v>2239220.4</v>
      </c>
      <c r="G894" s="1">
        <f>1693*2785.1</f>
        <v>4715174.3</v>
      </c>
      <c r="H894" s="1">
        <f>390*2785.1</f>
        <v>1086189</v>
      </c>
      <c r="I894" s="1">
        <f>571*2785.1</f>
        <v>1590292.0999999999</v>
      </c>
      <c r="J894" s="1">
        <f>467*2785.1</f>
        <v>1300641.7</v>
      </c>
      <c r="K894" s="1">
        <v>0</v>
      </c>
      <c r="L894" s="2">
        <v>0</v>
      </c>
      <c r="M894" s="1">
        <f t="shared" si="469"/>
        <v>0</v>
      </c>
      <c r="N894" s="1">
        <v>0</v>
      </c>
      <c r="O894" s="1">
        <v>0</v>
      </c>
      <c r="P894" s="1">
        <v>0</v>
      </c>
      <c r="Q894" s="1">
        <f t="shared" si="466"/>
        <v>0</v>
      </c>
      <c r="R894" s="1">
        <v>0</v>
      </c>
      <c r="S894" s="1">
        <f t="shared" si="467"/>
        <v>0</v>
      </c>
      <c r="T894" s="1">
        <v>0</v>
      </c>
      <c r="U894" s="1">
        <v>50000</v>
      </c>
      <c r="V894" s="1">
        <v>0</v>
      </c>
      <c r="W894" s="1">
        <v>50000</v>
      </c>
      <c r="X894" s="1">
        <v>0</v>
      </c>
      <c r="Y894" s="1">
        <v>0</v>
      </c>
      <c r="Z894" s="1">
        <v>0</v>
      </c>
      <c r="AA894" s="1">
        <v>0</v>
      </c>
      <c r="AB894" s="1">
        <v>0</v>
      </c>
      <c r="AC894" s="1">
        <v>0</v>
      </c>
      <c r="AD894" s="1">
        <v>0</v>
      </c>
    </row>
    <row r="895" spans="1:30" s="20" customFormat="1" ht="36" customHeight="1" x14ac:dyDescent="0.25">
      <c r="A895" s="2">
        <f t="shared" si="459"/>
        <v>867</v>
      </c>
      <c r="B895" s="6">
        <f>A895</f>
        <v>867</v>
      </c>
      <c r="C895" s="19" t="s">
        <v>1043</v>
      </c>
      <c r="D895" s="4">
        <f t="shared" si="476"/>
        <v>18759171.75</v>
      </c>
      <c r="E895" s="1">
        <f>SUM(F895:K895)</f>
        <v>9996621.75</v>
      </c>
      <c r="F895" s="1">
        <f>804*2546.91</f>
        <v>2047715.64</v>
      </c>
      <c r="G895" s="1">
        <f>1693*2546.91</f>
        <v>4311918.63</v>
      </c>
      <c r="H895" s="1">
        <f>390*2546.91</f>
        <v>993294.89999999991</v>
      </c>
      <c r="I895" s="1">
        <f>571*2546.91</f>
        <v>1454285.6099999999</v>
      </c>
      <c r="J895" s="1">
        <f>467*2546.91</f>
        <v>1189406.97</v>
      </c>
      <c r="K895" s="1">
        <v>0</v>
      </c>
      <c r="L895" s="2">
        <v>0</v>
      </c>
      <c r="M895" s="1">
        <v>0</v>
      </c>
      <c r="N895" s="1">
        <v>495</v>
      </c>
      <c r="O895" s="1">
        <f>N895*7750</f>
        <v>3836250</v>
      </c>
      <c r="P895" s="1">
        <v>0</v>
      </c>
      <c r="Q895" s="1">
        <f>P895*1400</f>
        <v>0</v>
      </c>
      <c r="R895" s="1">
        <v>1300</v>
      </c>
      <c r="S895" s="1">
        <f>R895*3751</f>
        <v>4876300</v>
      </c>
      <c r="T895" s="1">
        <v>0</v>
      </c>
      <c r="U895" s="1">
        <v>50000</v>
      </c>
      <c r="V895" s="1">
        <v>0</v>
      </c>
      <c r="W895" s="1">
        <v>0</v>
      </c>
      <c r="X895" s="1">
        <v>0</v>
      </c>
      <c r="Y895" s="1">
        <v>0</v>
      </c>
      <c r="Z895" s="1">
        <v>0</v>
      </c>
      <c r="AA895" s="1">
        <v>0</v>
      </c>
      <c r="AB895" s="1">
        <v>0</v>
      </c>
      <c r="AC895" s="1">
        <v>0</v>
      </c>
      <c r="AD895" s="1">
        <v>0</v>
      </c>
    </row>
    <row r="896" spans="1:30" s="20" customFormat="1" ht="36" customHeight="1" x14ac:dyDescent="0.25">
      <c r="A896" s="2">
        <f t="shared" si="459"/>
        <v>868</v>
      </c>
      <c r="B896" s="6">
        <f>A896</f>
        <v>868</v>
      </c>
      <c r="C896" s="30" t="s">
        <v>505</v>
      </c>
      <c r="D896" s="4">
        <f t="shared" si="476"/>
        <v>16785315</v>
      </c>
      <c r="E896" s="1">
        <f>SUM(F896:K896)</f>
        <v>12559215.000000002</v>
      </c>
      <c r="F896" s="1">
        <f>804*3199.8</f>
        <v>2572639.2000000002</v>
      </c>
      <c r="G896" s="1">
        <f>1693*3199.8</f>
        <v>5417261.4000000004</v>
      </c>
      <c r="H896" s="1">
        <f>390*3199.8</f>
        <v>1247922</v>
      </c>
      <c r="I896" s="1">
        <f>571*3199.8</f>
        <v>1827085.8</v>
      </c>
      <c r="J896" s="1">
        <f>467*3199.8</f>
        <v>1494306.6</v>
      </c>
      <c r="K896" s="1">
        <v>0</v>
      </c>
      <c r="L896" s="2">
        <v>0</v>
      </c>
      <c r="M896" s="1">
        <f>L896*3500000</f>
        <v>0</v>
      </c>
      <c r="N896" s="1">
        <v>0</v>
      </c>
      <c r="O896" s="1">
        <v>0</v>
      </c>
      <c r="P896" s="1">
        <v>0</v>
      </c>
      <c r="Q896" s="1">
        <f>P896*1400</f>
        <v>0</v>
      </c>
      <c r="R896" s="1">
        <v>1100</v>
      </c>
      <c r="S896" s="1">
        <f>R896*3751</f>
        <v>4126100</v>
      </c>
      <c r="T896" s="1">
        <v>0</v>
      </c>
      <c r="U896" s="1">
        <v>50000</v>
      </c>
      <c r="V896" s="1">
        <v>0</v>
      </c>
      <c r="W896" s="1">
        <v>50000</v>
      </c>
      <c r="X896" s="1">
        <v>0</v>
      </c>
      <c r="Y896" s="1">
        <v>0</v>
      </c>
      <c r="Z896" s="1">
        <v>0</v>
      </c>
      <c r="AA896" s="1">
        <v>0</v>
      </c>
      <c r="AB896" s="1">
        <v>0</v>
      </c>
      <c r="AC896" s="1">
        <v>0</v>
      </c>
      <c r="AD896" s="1">
        <v>0</v>
      </c>
    </row>
    <row r="897" spans="1:30" s="20" customFormat="1" ht="36" customHeight="1" x14ac:dyDescent="0.25">
      <c r="A897" s="2">
        <f t="shared" ref="A897:A973" si="478">ROW()-ROW($A$11)-17</f>
        <v>869</v>
      </c>
      <c r="B897" s="6">
        <f>A897</f>
        <v>869</v>
      </c>
      <c r="C897" s="30" t="s">
        <v>506</v>
      </c>
      <c r="D897" s="4">
        <f t="shared" si="476"/>
        <v>43199368.25</v>
      </c>
      <c r="E897" s="1">
        <f>SUM(F897:K897)</f>
        <v>29970868.250000004</v>
      </c>
      <c r="F897" s="1">
        <f>804*7635.89</f>
        <v>6139255.5600000005</v>
      </c>
      <c r="G897" s="1">
        <f>1693*7635.89</f>
        <v>12927561.770000001</v>
      </c>
      <c r="H897" s="1">
        <f>390*7635.89</f>
        <v>2977997.1</v>
      </c>
      <c r="I897" s="1">
        <f>571*7635.89</f>
        <v>4360093.1900000004</v>
      </c>
      <c r="J897" s="1">
        <f>467*7635.89</f>
        <v>3565960.6300000004</v>
      </c>
      <c r="K897" s="1">
        <v>0</v>
      </c>
      <c r="L897" s="2">
        <v>0</v>
      </c>
      <c r="M897" s="1">
        <f>L897*3500000</f>
        <v>0</v>
      </c>
      <c r="N897" s="1">
        <v>0</v>
      </c>
      <c r="O897" s="1">
        <v>0</v>
      </c>
      <c r="P897" s="1">
        <v>0</v>
      </c>
      <c r="Q897" s="1">
        <f>P897*1400</f>
        <v>0</v>
      </c>
      <c r="R897" s="1">
        <v>3500</v>
      </c>
      <c r="S897" s="1">
        <f>R897*3751</f>
        <v>13128500</v>
      </c>
      <c r="T897" s="1">
        <v>0</v>
      </c>
      <c r="U897" s="1">
        <v>50000</v>
      </c>
      <c r="V897" s="1">
        <v>0</v>
      </c>
      <c r="W897" s="1">
        <v>50000</v>
      </c>
      <c r="X897" s="1">
        <v>0</v>
      </c>
      <c r="Y897" s="1">
        <v>0</v>
      </c>
      <c r="Z897" s="1">
        <v>0</v>
      </c>
      <c r="AA897" s="1">
        <v>0</v>
      </c>
      <c r="AB897" s="1">
        <v>0</v>
      </c>
      <c r="AC897" s="1">
        <v>0</v>
      </c>
      <c r="AD897" s="1">
        <v>0</v>
      </c>
    </row>
    <row r="898" spans="1:30" s="20" customFormat="1" ht="36" customHeight="1" x14ac:dyDescent="0.25">
      <c r="A898" s="2">
        <f t="shared" si="459"/>
        <v>870</v>
      </c>
      <c r="B898" s="6">
        <f>A898</f>
        <v>870</v>
      </c>
      <c r="C898" s="19" t="s">
        <v>507</v>
      </c>
      <c r="D898" s="4">
        <f t="shared" si="476"/>
        <v>11093277.5</v>
      </c>
      <c r="E898" s="1">
        <f>SUM(F898:K898)</f>
        <v>7992477.4999999991</v>
      </c>
      <c r="F898" s="1">
        <f>804*2036.3</f>
        <v>1637185.2</v>
      </c>
      <c r="G898" s="1">
        <f>1693*2036.3</f>
        <v>3447455.9</v>
      </c>
      <c r="H898" s="1">
        <f>390*2036.3</f>
        <v>794157</v>
      </c>
      <c r="I898" s="1">
        <f>571*2036.3</f>
        <v>1162727.3</v>
      </c>
      <c r="J898" s="1">
        <f>467*2036.3</f>
        <v>950952.1</v>
      </c>
      <c r="K898" s="1">
        <v>0</v>
      </c>
      <c r="L898" s="2">
        <v>0</v>
      </c>
      <c r="M898" s="1">
        <f>L898*3500000</f>
        <v>0</v>
      </c>
      <c r="N898" s="1">
        <v>0</v>
      </c>
      <c r="O898" s="1">
        <v>0</v>
      </c>
      <c r="P898" s="1">
        <v>0</v>
      </c>
      <c r="Q898" s="1">
        <f>P898*1400</f>
        <v>0</v>
      </c>
      <c r="R898" s="1">
        <v>800</v>
      </c>
      <c r="S898" s="1">
        <f>R898*3751</f>
        <v>3000800</v>
      </c>
      <c r="T898" s="1">
        <v>0</v>
      </c>
      <c r="U898" s="1">
        <v>50000</v>
      </c>
      <c r="V898" s="1">
        <v>0</v>
      </c>
      <c r="W898" s="1">
        <v>50000</v>
      </c>
      <c r="X898" s="1">
        <v>0</v>
      </c>
      <c r="Y898" s="1">
        <v>0</v>
      </c>
      <c r="Z898" s="1">
        <v>0</v>
      </c>
      <c r="AA898" s="1">
        <v>0</v>
      </c>
      <c r="AB898" s="1">
        <v>0</v>
      </c>
      <c r="AC898" s="1">
        <v>0</v>
      </c>
      <c r="AD898" s="1">
        <v>0</v>
      </c>
    </row>
    <row r="899" spans="1:30" s="20" customFormat="1" ht="36" customHeight="1" x14ac:dyDescent="0.25">
      <c r="A899" s="2">
        <f t="shared" si="459"/>
        <v>871</v>
      </c>
      <c r="B899" s="6">
        <f t="shared" si="477"/>
        <v>871</v>
      </c>
      <c r="C899" s="30" t="s">
        <v>502</v>
      </c>
      <c r="D899" s="4">
        <f t="shared" si="476"/>
        <v>16166446.75</v>
      </c>
      <c r="E899" s="1">
        <f t="shared" si="468"/>
        <v>12127896.75</v>
      </c>
      <c r="F899" s="1">
        <f>804*3089.91</f>
        <v>2484287.6399999997</v>
      </c>
      <c r="G899" s="1">
        <f>1693*3089.91</f>
        <v>5231217.63</v>
      </c>
      <c r="H899" s="1">
        <f>390*3089.91</f>
        <v>1205064.8999999999</v>
      </c>
      <c r="I899" s="1">
        <f>571*3089.91</f>
        <v>1764338.6099999999</v>
      </c>
      <c r="J899" s="1">
        <f>467*3089.91</f>
        <v>1442987.97</v>
      </c>
      <c r="K899" s="1">
        <v>0</v>
      </c>
      <c r="L899" s="2">
        <v>0</v>
      </c>
      <c r="M899" s="1">
        <f t="shared" si="469"/>
        <v>0</v>
      </c>
      <c r="N899" s="1">
        <v>0</v>
      </c>
      <c r="O899" s="1">
        <v>0</v>
      </c>
      <c r="P899" s="1">
        <v>0</v>
      </c>
      <c r="Q899" s="1">
        <f t="shared" si="466"/>
        <v>0</v>
      </c>
      <c r="R899" s="1">
        <v>1050</v>
      </c>
      <c r="S899" s="1">
        <f t="shared" si="467"/>
        <v>3938550</v>
      </c>
      <c r="T899" s="1">
        <v>0</v>
      </c>
      <c r="U899" s="1">
        <v>50000</v>
      </c>
      <c r="V899" s="1">
        <v>0</v>
      </c>
      <c r="W899" s="1">
        <v>50000</v>
      </c>
      <c r="X899" s="1">
        <v>0</v>
      </c>
      <c r="Y899" s="1">
        <v>0</v>
      </c>
      <c r="Z899" s="1">
        <v>0</v>
      </c>
      <c r="AA899" s="1">
        <v>0</v>
      </c>
      <c r="AB899" s="1">
        <v>0</v>
      </c>
      <c r="AC899" s="1">
        <v>0</v>
      </c>
      <c r="AD899" s="1">
        <v>0</v>
      </c>
    </row>
    <row r="900" spans="1:30" s="20" customFormat="1" ht="36" customHeight="1" x14ac:dyDescent="0.25">
      <c r="A900" s="2">
        <f t="shared" si="459"/>
        <v>872</v>
      </c>
      <c r="B900" s="6">
        <f t="shared" si="477"/>
        <v>872</v>
      </c>
      <c r="C900" s="30" t="s">
        <v>503</v>
      </c>
      <c r="D900" s="4">
        <f t="shared" si="476"/>
        <v>14012799.25</v>
      </c>
      <c r="E900" s="1">
        <f t="shared" si="468"/>
        <v>9974249.25</v>
      </c>
      <c r="F900" s="1">
        <f>804*2541.21</f>
        <v>2043132.84</v>
      </c>
      <c r="G900" s="1">
        <f>1693*2541.21</f>
        <v>4302268.53</v>
      </c>
      <c r="H900" s="1">
        <f>390*2541.21</f>
        <v>991071.9</v>
      </c>
      <c r="I900" s="1">
        <f>571*2541.21</f>
        <v>1451030.91</v>
      </c>
      <c r="J900" s="1">
        <f>467*2541.21</f>
        <v>1186745.07</v>
      </c>
      <c r="K900" s="1">
        <v>0</v>
      </c>
      <c r="L900" s="2">
        <v>0</v>
      </c>
      <c r="M900" s="1">
        <f t="shared" si="469"/>
        <v>0</v>
      </c>
      <c r="N900" s="1">
        <v>0</v>
      </c>
      <c r="O900" s="1">
        <v>0</v>
      </c>
      <c r="P900" s="1">
        <v>0</v>
      </c>
      <c r="Q900" s="1">
        <f t="shared" si="466"/>
        <v>0</v>
      </c>
      <c r="R900" s="1">
        <v>1050</v>
      </c>
      <c r="S900" s="1">
        <f t="shared" si="467"/>
        <v>3938550</v>
      </c>
      <c r="T900" s="1">
        <v>0</v>
      </c>
      <c r="U900" s="1">
        <v>50000</v>
      </c>
      <c r="V900" s="1">
        <v>0</v>
      </c>
      <c r="W900" s="1">
        <v>50000</v>
      </c>
      <c r="X900" s="1">
        <v>0</v>
      </c>
      <c r="Y900" s="1">
        <v>0</v>
      </c>
      <c r="Z900" s="1">
        <v>0</v>
      </c>
      <c r="AA900" s="1">
        <v>0</v>
      </c>
      <c r="AB900" s="1">
        <v>0</v>
      </c>
      <c r="AC900" s="1">
        <v>0</v>
      </c>
      <c r="AD900" s="1">
        <v>0</v>
      </c>
    </row>
    <row r="901" spans="1:30" s="20" customFormat="1" ht="36" customHeight="1" x14ac:dyDescent="0.25">
      <c r="A901" s="2">
        <f t="shared" si="459"/>
        <v>873</v>
      </c>
      <c r="B901" s="6">
        <f t="shared" si="477"/>
        <v>873</v>
      </c>
      <c r="C901" s="19" t="s">
        <v>1745</v>
      </c>
      <c r="D901" s="4">
        <f t="shared" si="476"/>
        <v>3700000</v>
      </c>
      <c r="E901" s="1">
        <f t="shared" si="468"/>
        <v>0</v>
      </c>
      <c r="F901" s="1">
        <v>0</v>
      </c>
      <c r="G901" s="1">
        <v>0</v>
      </c>
      <c r="H901" s="1">
        <v>0</v>
      </c>
      <c r="I901" s="1">
        <v>0</v>
      </c>
      <c r="J901" s="1">
        <v>0</v>
      </c>
      <c r="K901" s="1">
        <v>0</v>
      </c>
      <c r="L901" s="2">
        <v>1</v>
      </c>
      <c r="M901" s="1">
        <f t="shared" si="469"/>
        <v>3500000</v>
      </c>
      <c r="N901" s="1">
        <v>0</v>
      </c>
      <c r="O901" s="1">
        <v>0</v>
      </c>
      <c r="P901" s="1">
        <v>0</v>
      </c>
      <c r="Q901" s="1">
        <f t="shared" si="466"/>
        <v>0</v>
      </c>
      <c r="R901" s="1">
        <v>0</v>
      </c>
      <c r="S901" s="1">
        <f t="shared" si="467"/>
        <v>0</v>
      </c>
      <c r="T901" s="1">
        <v>0</v>
      </c>
      <c r="U901" s="1">
        <v>200000</v>
      </c>
      <c r="V901" s="1">
        <v>0</v>
      </c>
      <c r="W901" s="1">
        <v>0</v>
      </c>
      <c r="X901" s="1">
        <v>0</v>
      </c>
      <c r="Y901" s="1">
        <v>0</v>
      </c>
      <c r="Z901" s="1">
        <v>0</v>
      </c>
      <c r="AA901" s="1">
        <v>0</v>
      </c>
      <c r="AB901" s="1">
        <v>0</v>
      </c>
      <c r="AC901" s="1">
        <v>0</v>
      </c>
      <c r="AD901" s="1">
        <v>0</v>
      </c>
    </row>
    <row r="902" spans="1:30" s="20" customFormat="1" ht="36" customHeight="1" x14ac:dyDescent="0.25">
      <c r="A902" s="2">
        <f t="shared" si="459"/>
        <v>874</v>
      </c>
      <c r="B902" s="6">
        <f t="shared" si="477"/>
        <v>874</v>
      </c>
      <c r="C902" s="19" t="s">
        <v>504</v>
      </c>
      <c r="D902" s="4">
        <f t="shared" si="476"/>
        <v>18889681.5</v>
      </c>
      <c r="E902" s="1">
        <f t="shared" si="468"/>
        <v>18789681.5</v>
      </c>
      <c r="F902" s="1">
        <f>804*4787.18</f>
        <v>3848892.72</v>
      </c>
      <c r="G902" s="1">
        <f>1693*4787.18</f>
        <v>8104695.7400000002</v>
      </c>
      <c r="H902" s="1">
        <f>390*4787.18</f>
        <v>1867000.2000000002</v>
      </c>
      <c r="I902" s="1">
        <f>571*4787.18</f>
        <v>2733479.7800000003</v>
      </c>
      <c r="J902" s="1">
        <f>467*4787.18</f>
        <v>2235613.06</v>
      </c>
      <c r="K902" s="1">
        <v>0</v>
      </c>
      <c r="L902" s="2">
        <v>0</v>
      </c>
      <c r="M902" s="1">
        <f t="shared" si="469"/>
        <v>0</v>
      </c>
      <c r="N902" s="1">
        <v>0</v>
      </c>
      <c r="O902" s="1">
        <v>0</v>
      </c>
      <c r="P902" s="1">
        <v>0</v>
      </c>
      <c r="Q902" s="1">
        <f t="shared" si="466"/>
        <v>0</v>
      </c>
      <c r="R902" s="1">
        <v>0</v>
      </c>
      <c r="S902" s="1">
        <f t="shared" si="467"/>
        <v>0</v>
      </c>
      <c r="T902" s="1">
        <v>0</v>
      </c>
      <c r="U902" s="1">
        <v>50000</v>
      </c>
      <c r="V902" s="1">
        <v>0</v>
      </c>
      <c r="W902" s="1">
        <v>50000</v>
      </c>
      <c r="X902" s="1">
        <v>0</v>
      </c>
      <c r="Y902" s="1">
        <v>0</v>
      </c>
      <c r="Z902" s="1">
        <v>0</v>
      </c>
      <c r="AA902" s="1">
        <v>0</v>
      </c>
      <c r="AB902" s="1">
        <v>0</v>
      </c>
      <c r="AC902" s="1">
        <v>0</v>
      </c>
      <c r="AD902" s="1">
        <v>0</v>
      </c>
    </row>
    <row r="903" spans="1:30" s="20" customFormat="1" ht="36" customHeight="1" x14ac:dyDescent="0.25">
      <c r="A903" s="2">
        <f t="shared" si="459"/>
        <v>875</v>
      </c>
      <c r="B903" s="6">
        <f>A903</f>
        <v>875</v>
      </c>
      <c r="C903" s="19" t="s">
        <v>2439</v>
      </c>
      <c r="D903" s="4">
        <f t="shared" si="476"/>
        <v>10700000</v>
      </c>
      <c r="E903" s="1">
        <f>SUM(F903:K903)</f>
        <v>0</v>
      </c>
      <c r="F903" s="1">
        <v>0</v>
      </c>
      <c r="G903" s="1">
        <v>0</v>
      </c>
      <c r="H903" s="1">
        <v>0</v>
      </c>
      <c r="I903" s="1">
        <v>0</v>
      </c>
      <c r="J903" s="1">
        <v>0</v>
      </c>
      <c r="K903" s="1">
        <v>0</v>
      </c>
      <c r="L903" s="2">
        <v>3</v>
      </c>
      <c r="M903" s="1">
        <f>L903*3500000</f>
        <v>10500000</v>
      </c>
      <c r="N903" s="1">
        <v>0</v>
      </c>
      <c r="O903" s="1">
        <v>0</v>
      </c>
      <c r="P903" s="1">
        <v>0</v>
      </c>
      <c r="Q903" s="1">
        <f>P903*1400</f>
        <v>0</v>
      </c>
      <c r="R903" s="1">
        <v>0</v>
      </c>
      <c r="S903" s="1">
        <f>R903*3751</f>
        <v>0</v>
      </c>
      <c r="T903" s="1">
        <v>0</v>
      </c>
      <c r="U903" s="1">
        <v>200000</v>
      </c>
      <c r="V903" s="1">
        <v>0</v>
      </c>
      <c r="W903" s="1">
        <v>0</v>
      </c>
      <c r="X903" s="1">
        <v>0</v>
      </c>
      <c r="Y903" s="1">
        <v>0</v>
      </c>
      <c r="Z903" s="1">
        <v>0</v>
      </c>
      <c r="AA903" s="1">
        <v>0</v>
      </c>
      <c r="AB903" s="1">
        <v>0</v>
      </c>
      <c r="AC903" s="1">
        <v>0</v>
      </c>
      <c r="AD903" s="1">
        <v>0</v>
      </c>
    </row>
    <row r="904" spans="1:30" s="20" customFormat="1" ht="36" customHeight="1" x14ac:dyDescent="0.25">
      <c r="A904" s="2">
        <f t="shared" si="459"/>
        <v>876</v>
      </c>
      <c r="B904" s="6">
        <f>A904</f>
        <v>876</v>
      </c>
      <c r="C904" s="19" t="s">
        <v>2376</v>
      </c>
      <c r="D904" s="4">
        <f t="shared" si="476"/>
        <v>14200000</v>
      </c>
      <c r="E904" s="1">
        <f>SUM(F904:K904)</f>
        <v>0</v>
      </c>
      <c r="F904" s="1">
        <v>0</v>
      </c>
      <c r="G904" s="1">
        <v>0</v>
      </c>
      <c r="H904" s="1">
        <v>0</v>
      </c>
      <c r="I904" s="1">
        <v>0</v>
      </c>
      <c r="J904" s="1">
        <v>0</v>
      </c>
      <c r="K904" s="1">
        <v>0</v>
      </c>
      <c r="L904" s="2">
        <v>4</v>
      </c>
      <c r="M904" s="1">
        <f>L904*3500000</f>
        <v>14000000</v>
      </c>
      <c r="N904" s="1">
        <v>0</v>
      </c>
      <c r="O904" s="1">
        <v>0</v>
      </c>
      <c r="P904" s="1">
        <v>0</v>
      </c>
      <c r="Q904" s="1">
        <f>P904*1400</f>
        <v>0</v>
      </c>
      <c r="R904" s="1">
        <v>0</v>
      </c>
      <c r="S904" s="1">
        <f>R904*3751</f>
        <v>0</v>
      </c>
      <c r="T904" s="1">
        <v>0</v>
      </c>
      <c r="U904" s="1">
        <v>200000</v>
      </c>
      <c r="V904" s="1">
        <v>0</v>
      </c>
      <c r="W904" s="1">
        <v>0</v>
      </c>
      <c r="X904" s="1">
        <v>0</v>
      </c>
      <c r="Y904" s="1">
        <v>0</v>
      </c>
      <c r="Z904" s="1">
        <v>0</v>
      </c>
      <c r="AA904" s="1">
        <v>0</v>
      </c>
      <c r="AB904" s="1">
        <v>0</v>
      </c>
      <c r="AC904" s="1">
        <v>0</v>
      </c>
      <c r="AD904" s="1">
        <v>0</v>
      </c>
    </row>
    <row r="905" spans="1:30" s="20" customFormat="1" ht="36" customHeight="1" x14ac:dyDescent="0.25">
      <c r="A905" s="2">
        <f t="shared" si="459"/>
        <v>877</v>
      </c>
      <c r="B905" s="6">
        <f>A905</f>
        <v>877</v>
      </c>
      <c r="C905" s="19" t="s">
        <v>2440</v>
      </c>
      <c r="D905" s="4">
        <f t="shared" si="476"/>
        <v>14200000</v>
      </c>
      <c r="E905" s="1">
        <f>SUM(F905:K905)</f>
        <v>0</v>
      </c>
      <c r="F905" s="1">
        <v>0</v>
      </c>
      <c r="G905" s="1">
        <v>0</v>
      </c>
      <c r="H905" s="1">
        <v>0</v>
      </c>
      <c r="I905" s="1">
        <v>0</v>
      </c>
      <c r="J905" s="1">
        <v>0</v>
      </c>
      <c r="K905" s="1">
        <v>0</v>
      </c>
      <c r="L905" s="2">
        <v>4</v>
      </c>
      <c r="M905" s="1">
        <f>L905*3500000</f>
        <v>14000000</v>
      </c>
      <c r="N905" s="1">
        <v>0</v>
      </c>
      <c r="O905" s="1">
        <v>0</v>
      </c>
      <c r="P905" s="1">
        <v>0</v>
      </c>
      <c r="Q905" s="1">
        <f>P905*1400</f>
        <v>0</v>
      </c>
      <c r="R905" s="1">
        <v>0</v>
      </c>
      <c r="S905" s="1">
        <f>R905*3751</f>
        <v>0</v>
      </c>
      <c r="T905" s="1">
        <v>0</v>
      </c>
      <c r="U905" s="1">
        <v>200000</v>
      </c>
      <c r="V905" s="1">
        <v>0</v>
      </c>
      <c r="W905" s="1">
        <v>0</v>
      </c>
      <c r="X905" s="1">
        <v>0</v>
      </c>
      <c r="Y905" s="1">
        <v>0</v>
      </c>
      <c r="Z905" s="1">
        <v>0</v>
      </c>
      <c r="AA905" s="1">
        <v>0</v>
      </c>
      <c r="AB905" s="1">
        <v>0</v>
      </c>
      <c r="AC905" s="1">
        <v>0</v>
      </c>
      <c r="AD905" s="1">
        <v>0</v>
      </c>
    </row>
    <row r="906" spans="1:30" s="20" customFormat="1" ht="36" customHeight="1" x14ac:dyDescent="0.25">
      <c r="A906" s="2">
        <f t="shared" si="459"/>
        <v>878</v>
      </c>
      <c r="B906" s="6">
        <f>A906</f>
        <v>878</v>
      </c>
      <c r="C906" s="19" t="s">
        <v>2441</v>
      </c>
      <c r="D906" s="4">
        <f t="shared" si="476"/>
        <v>21200000</v>
      </c>
      <c r="E906" s="1">
        <f>SUM(F906:K906)</f>
        <v>0</v>
      </c>
      <c r="F906" s="1">
        <v>0</v>
      </c>
      <c r="G906" s="1">
        <v>0</v>
      </c>
      <c r="H906" s="1">
        <v>0</v>
      </c>
      <c r="I906" s="1">
        <v>0</v>
      </c>
      <c r="J906" s="1">
        <v>0</v>
      </c>
      <c r="K906" s="1">
        <v>0</v>
      </c>
      <c r="L906" s="2">
        <v>6</v>
      </c>
      <c r="M906" s="1">
        <f>L906*3500000</f>
        <v>21000000</v>
      </c>
      <c r="N906" s="1">
        <v>0</v>
      </c>
      <c r="O906" s="1">
        <v>0</v>
      </c>
      <c r="P906" s="1">
        <v>0</v>
      </c>
      <c r="Q906" s="1">
        <f>P906*1400</f>
        <v>0</v>
      </c>
      <c r="R906" s="1">
        <v>0</v>
      </c>
      <c r="S906" s="1">
        <f>R906*3751</f>
        <v>0</v>
      </c>
      <c r="T906" s="1">
        <v>0</v>
      </c>
      <c r="U906" s="1">
        <v>200000</v>
      </c>
      <c r="V906" s="1">
        <v>0</v>
      </c>
      <c r="W906" s="1">
        <v>0</v>
      </c>
      <c r="X906" s="1">
        <v>0</v>
      </c>
      <c r="Y906" s="1">
        <v>0</v>
      </c>
      <c r="Z906" s="1">
        <v>0</v>
      </c>
      <c r="AA906" s="1">
        <v>0</v>
      </c>
      <c r="AB906" s="1">
        <v>0</v>
      </c>
      <c r="AC906" s="1">
        <v>0</v>
      </c>
      <c r="AD906" s="1">
        <v>0</v>
      </c>
    </row>
    <row r="907" spans="1:30" s="20" customFormat="1" ht="36" customHeight="1" x14ac:dyDescent="0.25">
      <c r="A907" s="2">
        <f t="shared" si="478"/>
        <v>879</v>
      </c>
      <c r="B907" s="6">
        <f t="shared" si="477"/>
        <v>879</v>
      </c>
      <c r="C907" s="30" t="s">
        <v>508</v>
      </c>
      <c r="D907" s="4">
        <f t="shared" si="476"/>
        <v>11531954.999999998</v>
      </c>
      <c r="E907" s="1">
        <f t="shared" si="468"/>
        <v>11431954.999999998</v>
      </c>
      <c r="F907" s="1">
        <f>804*2912.6</f>
        <v>2341730.4</v>
      </c>
      <c r="G907" s="1">
        <f>1693*2912.6</f>
        <v>4931031.8</v>
      </c>
      <c r="H907" s="1">
        <f>390*2912.6</f>
        <v>1135914</v>
      </c>
      <c r="I907" s="1">
        <f>571*2912.6</f>
        <v>1663094.5999999999</v>
      </c>
      <c r="J907" s="1">
        <f>467*2912.6</f>
        <v>1360184.2</v>
      </c>
      <c r="K907" s="1">
        <v>0</v>
      </c>
      <c r="L907" s="2">
        <v>0</v>
      </c>
      <c r="M907" s="1">
        <f t="shared" si="469"/>
        <v>0</v>
      </c>
      <c r="N907" s="1">
        <v>0</v>
      </c>
      <c r="O907" s="1">
        <v>0</v>
      </c>
      <c r="P907" s="1">
        <v>0</v>
      </c>
      <c r="Q907" s="1">
        <f t="shared" si="466"/>
        <v>0</v>
      </c>
      <c r="R907" s="1">
        <v>0</v>
      </c>
      <c r="S907" s="1">
        <f t="shared" si="467"/>
        <v>0</v>
      </c>
      <c r="T907" s="1">
        <v>0</v>
      </c>
      <c r="U907" s="1">
        <v>50000</v>
      </c>
      <c r="V907" s="1">
        <v>0</v>
      </c>
      <c r="W907" s="1">
        <v>50000</v>
      </c>
      <c r="X907" s="1">
        <v>0</v>
      </c>
      <c r="Y907" s="1">
        <v>0</v>
      </c>
      <c r="Z907" s="1">
        <v>0</v>
      </c>
      <c r="AA907" s="1">
        <v>0</v>
      </c>
      <c r="AB907" s="1">
        <v>0</v>
      </c>
      <c r="AC907" s="1">
        <v>0</v>
      </c>
      <c r="AD907" s="1">
        <v>0</v>
      </c>
    </row>
    <row r="908" spans="1:30" s="20" customFormat="1" ht="36" customHeight="1" x14ac:dyDescent="0.25">
      <c r="A908" s="2">
        <f t="shared" si="478"/>
        <v>880</v>
      </c>
      <c r="B908" s="6">
        <f>A908</f>
        <v>880</v>
      </c>
      <c r="C908" s="19" t="s">
        <v>2377</v>
      </c>
      <c r="D908" s="4">
        <f t="shared" si="476"/>
        <v>10700000</v>
      </c>
      <c r="E908" s="1">
        <f>SUM(F908:K908)</f>
        <v>0</v>
      </c>
      <c r="F908" s="1">
        <v>0</v>
      </c>
      <c r="G908" s="1">
        <v>0</v>
      </c>
      <c r="H908" s="1">
        <v>0</v>
      </c>
      <c r="I908" s="1">
        <v>0</v>
      </c>
      <c r="J908" s="1">
        <v>0</v>
      </c>
      <c r="K908" s="1">
        <v>0</v>
      </c>
      <c r="L908" s="2">
        <v>3</v>
      </c>
      <c r="M908" s="1">
        <f>L908*3500000</f>
        <v>10500000</v>
      </c>
      <c r="N908" s="1">
        <v>0</v>
      </c>
      <c r="O908" s="1">
        <v>0</v>
      </c>
      <c r="P908" s="1">
        <v>0</v>
      </c>
      <c r="Q908" s="1">
        <f>P908*1400</f>
        <v>0</v>
      </c>
      <c r="R908" s="1">
        <v>0</v>
      </c>
      <c r="S908" s="1">
        <f>R908*3751</f>
        <v>0</v>
      </c>
      <c r="T908" s="1">
        <v>0</v>
      </c>
      <c r="U908" s="1">
        <v>200000</v>
      </c>
      <c r="V908" s="1">
        <v>0</v>
      </c>
      <c r="W908" s="1">
        <v>0</v>
      </c>
      <c r="X908" s="1">
        <v>0</v>
      </c>
      <c r="Y908" s="1">
        <v>0</v>
      </c>
      <c r="Z908" s="1">
        <v>0</v>
      </c>
      <c r="AA908" s="1">
        <v>0</v>
      </c>
      <c r="AB908" s="1">
        <v>0</v>
      </c>
      <c r="AC908" s="1">
        <v>0</v>
      </c>
      <c r="AD908" s="1">
        <v>0</v>
      </c>
    </row>
    <row r="909" spans="1:30" s="20" customFormat="1" ht="36" customHeight="1" x14ac:dyDescent="0.25">
      <c r="A909" s="2">
        <f t="shared" si="478"/>
        <v>881</v>
      </c>
      <c r="B909" s="6">
        <f>A909</f>
        <v>881</v>
      </c>
      <c r="C909" s="19" t="s">
        <v>1746</v>
      </c>
      <c r="D909" s="4">
        <f t="shared" si="476"/>
        <v>7200000</v>
      </c>
      <c r="E909" s="1">
        <f>SUM(F909:K909)</f>
        <v>0</v>
      </c>
      <c r="F909" s="1">
        <v>0</v>
      </c>
      <c r="G909" s="1">
        <v>0</v>
      </c>
      <c r="H909" s="1">
        <v>0</v>
      </c>
      <c r="I909" s="1">
        <v>0</v>
      </c>
      <c r="J909" s="1">
        <v>0</v>
      </c>
      <c r="K909" s="1">
        <v>0</v>
      </c>
      <c r="L909" s="2">
        <v>2</v>
      </c>
      <c r="M909" s="1">
        <f>L909*3500000</f>
        <v>7000000</v>
      </c>
      <c r="N909" s="1">
        <v>0</v>
      </c>
      <c r="O909" s="1">
        <v>0</v>
      </c>
      <c r="P909" s="1">
        <v>0</v>
      </c>
      <c r="Q909" s="1">
        <f>P909*1400</f>
        <v>0</v>
      </c>
      <c r="R909" s="1">
        <v>0</v>
      </c>
      <c r="S909" s="1">
        <f>R909*3751</f>
        <v>0</v>
      </c>
      <c r="T909" s="1">
        <v>0</v>
      </c>
      <c r="U909" s="1">
        <v>200000</v>
      </c>
      <c r="V909" s="1">
        <v>0</v>
      </c>
      <c r="W909" s="1">
        <v>0</v>
      </c>
      <c r="X909" s="1">
        <v>0</v>
      </c>
      <c r="Y909" s="1">
        <v>0</v>
      </c>
      <c r="Z909" s="1">
        <v>0</v>
      </c>
      <c r="AA909" s="1">
        <v>0</v>
      </c>
      <c r="AB909" s="1">
        <v>0</v>
      </c>
      <c r="AC909" s="1">
        <v>0</v>
      </c>
      <c r="AD909" s="1">
        <v>0</v>
      </c>
    </row>
    <row r="910" spans="1:30" s="20" customFormat="1" ht="36" customHeight="1" x14ac:dyDescent="0.25">
      <c r="A910" s="2">
        <f t="shared" si="478"/>
        <v>882</v>
      </c>
      <c r="B910" s="6">
        <f t="shared" si="477"/>
        <v>882</v>
      </c>
      <c r="C910" s="19" t="s">
        <v>509</v>
      </c>
      <c r="D910" s="4">
        <f t="shared" si="476"/>
        <v>2922860</v>
      </c>
      <c r="E910" s="1">
        <f t="shared" si="468"/>
        <v>2822860</v>
      </c>
      <c r="F910" s="1">
        <f>804*719.2</f>
        <v>578236.80000000005</v>
      </c>
      <c r="G910" s="1">
        <f>1693*719.2</f>
        <v>1217605.6000000001</v>
      </c>
      <c r="H910" s="1">
        <f>390*719.2</f>
        <v>280488</v>
      </c>
      <c r="I910" s="1">
        <f>571*719.2</f>
        <v>410663.2</v>
      </c>
      <c r="J910" s="1">
        <f>467*719.2</f>
        <v>335866.4</v>
      </c>
      <c r="K910" s="1">
        <v>0</v>
      </c>
      <c r="L910" s="2">
        <v>0</v>
      </c>
      <c r="M910" s="1">
        <f t="shared" si="469"/>
        <v>0</v>
      </c>
      <c r="N910" s="1">
        <v>0</v>
      </c>
      <c r="O910" s="1">
        <v>0</v>
      </c>
      <c r="P910" s="1">
        <v>0</v>
      </c>
      <c r="Q910" s="1">
        <f t="shared" si="466"/>
        <v>0</v>
      </c>
      <c r="R910" s="1">
        <v>0</v>
      </c>
      <c r="S910" s="1">
        <f t="shared" si="467"/>
        <v>0</v>
      </c>
      <c r="T910" s="1">
        <v>0</v>
      </c>
      <c r="U910" s="1">
        <v>50000</v>
      </c>
      <c r="V910" s="1">
        <v>0</v>
      </c>
      <c r="W910" s="1">
        <v>50000</v>
      </c>
      <c r="X910" s="1">
        <v>0</v>
      </c>
      <c r="Y910" s="1">
        <v>0</v>
      </c>
      <c r="Z910" s="1">
        <v>0</v>
      </c>
      <c r="AA910" s="1">
        <v>0</v>
      </c>
      <c r="AB910" s="1">
        <v>0</v>
      </c>
      <c r="AC910" s="1">
        <v>0</v>
      </c>
      <c r="AD910" s="1">
        <v>0</v>
      </c>
    </row>
    <row r="911" spans="1:30" s="20" customFormat="1" ht="36" customHeight="1" x14ac:dyDescent="0.25">
      <c r="A911" s="2">
        <f t="shared" si="478"/>
        <v>883</v>
      </c>
      <c r="B911" s="6">
        <f>A911</f>
        <v>883</v>
      </c>
      <c r="C911" s="19" t="s">
        <v>1046</v>
      </c>
      <c r="D911" s="4">
        <f t="shared" si="476"/>
        <v>17177345.75</v>
      </c>
      <c r="E911" s="1">
        <f>SUM(F911:K911)</f>
        <v>13431153.749999998</v>
      </c>
      <c r="F911" s="1">
        <f>804*3421.95</f>
        <v>2751247.8</v>
      </c>
      <c r="G911" s="1">
        <f>1693*3421.95</f>
        <v>5793361.3499999996</v>
      </c>
      <c r="H911" s="1">
        <f>390*3421.95</f>
        <v>1334560.5</v>
      </c>
      <c r="I911" s="1">
        <f>571*3421.95</f>
        <v>1953933.45</v>
      </c>
      <c r="J911" s="1">
        <f>467*3421.95</f>
        <v>1598050.65</v>
      </c>
      <c r="K911" s="1">
        <v>0</v>
      </c>
      <c r="L911" s="2">
        <v>0</v>
      </c>
      <c r="M911" s="1">
        <v>0</v>
      </c>
      <c r="N911" s="1">
        <v>744</v>
      </c>
      <c r="O911" s="1">
        <f>N911*4968</f>
        <v>3696192</v>
      </c>
      <c r="P911" s="1">
        <v>0</v>
      </c>
      <c r="Q911" s="1">
        <f>P911*1400</f>
        <v>0</v>
      </c>
      <c r="R911" s="1">
        <v>0</v>
      </c>
      <c r="S911" s="1">
        <f>R911*3751</f>
        <v>0</v>
      </c>
      <c r="T911" s="1">
        <v>0</v>
      </c>
      <c r="U911" s="1">
        <v>50000</v>
      </c>
      <c r="V911" s="1">
        <v>0</v>
      </c>
      <c r="W911" s="1">
        <v>0</v>
      </c>
      <c r="X911" s="1">
        <v>0</v>
      </c>
      <c r="Y911" s="1">
        <v>0</v>
      </c>
      <c r="Z911" s="1">
        <v>0</v>
      </c>
      <c r="AA911" s="1">
        <v>0</v>
      </c>
      <c r="AB911" s="1">
        <v>0</v>
      </c>
      <c r="AC911" s="1">
        <v>0</v>
      </c>
      <c r="AD911" s="1">
        <v>0</v>
      </c>
    </row>
    <row r="912" spans="1:30" s="20" customFormat="1" ht="36" customHeight="1" x14ac:dyDescent="0.25">
      <c r="A912" s="2">
        <f t="shared" si="478"/>
        <v>884</v>
      </c>
      <c r="B912" s="6">
        <f t="shared" ref="B912:B916" si="479">A912</f>
        <v>884</v>
      </c>
      <c r="C912" s="19" t="s">
        <v>2378</v>
      </c>
      <c r="D912" s="4">
        <f t="shared" si="476"/>
        <v>7200000</v>
      </c>
      <c r="E912" s="1">
        <f t="shared" ref="E912:E916" si="480">SUM(F912:K912)</f>
        <v>0</v>
      </c>
      <c r="F912" s="1">
        <v>0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2">
        <v>2</v>
      </c>
      <c r="M912" s="1">
        <f>L912*3500000</f>
        <v>7000000</v>
      </c>
      <c r="N912" s="1">
        <v>0</v>
      </c>
      <c r="O912" s="1">
        <v>0</v>
      </c>
      <c r="P912" s="1">
        <v>0</v>
      </c>
      <c r="Q912" s="1">
        <f t="shared" ref="Q912:Q916" si="481">P912*1400</f>
        <v>0</v>
      </c>
      <c r="R912" s="1">
        <v>0</v>
      </c>
      <c r="S912" s="1">
        <f t="shared" ref="S912:S916" si="482">R912*3751</f>
        <v>0</v>
      </c>
      <c r="T912" s="1">
        <v>0</v>
      </c>
      <c r="U912" s="1">
        <v>200000</v>
      </c>
      <c r="V912" s="1">
        <v>0</v>
      </c>
      <c r="W912" s="1">
        <v>0</v>
      </c>
      <c r="X912" s="1">
        <v>0</v>
      </c>
      <c r="Y912" s="1">
        <v>0</v>
      </c>
      <c r="Z912" s="1">
        <v>0</v>
      </c>
      <c r="AA912" s="1">
        <v>0</v>
      </c>
      <c r="AB912" s="1">
        <v>0</v>
      </c>
      <c r="AC912" s="1">
        <v>0</v>
      </c>
      <c r="AD912" s="1">
        <v>0</v>
      </c>
    </row>
    <row r="913" spans="1:30" s="20" customFormat="1" ht="36" customHeight="1" x14ac:dyDescent="0.25">
      <c r="A913" s="2">
        <f t="shared" si="478"/>
        <v>885</v>
      </c>
      <c r="B913" s="6">
        <f t="shared" si="479"/>
        <v>885</v>
      </c>
      <c r="C913" s="19" t="s">
        <v>2442</v>
      </c>
      <c r="D913" s="4">
        <f t="shared" si="476"/>
        <v>7200000</v>
      </c>
      <c r="E913" s="1">
        <f t="shared" si="480"/>
        <v>0</v>
      </c>
      <c r="F913" s="1">
        <v>0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2">
        <v>2</v>
      </c>
      <c r="M913" s="1">
        <f>L913*3500000</f>
        <v>7000000</v>
      </c>
      <c r="N913" s="1">
        <v>0</v>
      </c>
      <c r="O913" s="1">
        <v>0</v>
      </c>
      <c r="P913" s="1">
        <v>0</v>
      </c>
      <c r="Q913" s="1">
        <f t="shared" si="481"/>
        <v>0</v>
      </c>
      <c r="R913" s="1">
        <v>0</v>
      </c>
      <c r="S913" s="1">
        <f t="shared" si="482"/>
        <v>0</v>
      </c>
      <c r="T913" s="1">
        <v>0</v>
      </c>
      <c r="U913" s="1">
        <v>200000</v>
      </c>
      <c r="V913" s="1">
        <v>0</v>
      </c>
      <c r="W913" s="1">
        <v>0</v>
      </c>
      <c r="X913" s="1">
        <v>0</v>
      </c>
      <c r="Y913" s="1">
        <v>0</v>
      </c>
      <c r="Z913" s="1">
        <v>0</v>
      </c>
      <c r="AA913" s="1">
        <v>0</v>
      </c>
      <c r="AB913" s="1">
        <v>0</v>
      </c>
      <c r="AC913" s="1">
        <v>0</v>
      </c>
      <c r="AD913" s="1">
        <v>0</v>
      </c>
    </row>
    <row r="914" spans="1:30" s="20" customFormat="1" ht="36" customHeight="1" x14ac:dyDescent="0.25">
      <c r="A914" s="2">
        <f t="shared" si="478"/>
        <v>886</v>
      </c>
      <c r="B914" s="6">
        <f t="shared" si="479"/>
        <v>886</v>
      </c>
      <c r="C914" s="19" t="s">
        <v>2379</v>
      </c>
      <c r="D914" s="4">
        <f t="shared" si="476"/>
        <v>3700000</v>
      </c>
      <c r="E914" s="1">
        <f t="shared" si="480"/>
        <v>0</v>
      </c>
      <c r="F914" s="1">
        <v>0</v>
      </c>
      <c r="G914" s="1">
        <v>0</v>
      </c>
      <c r="H914" s="1">
        <v>0</v>
      </c>
      <c r="I914" s="1">
        <v>0</v>
      </c>
      <c r="J914" s="1">
        <v>0</v>
      </c>
      <c r="K914" s="1">
        <v>0</v>
      </c>
      <c r="L914" s="2">
        <v>1</v>
      </c>
      <c r="M914" s="1">
        <f>L914*3500000</f>
        <v>3500000</v>
      </c>
      <c r="N914" s="1">
        <v>0</v>
      </c>
      <c r="O914" s="1">
        <v>0</v>
      </c>
      <c r="P914" s="1">
        <v>0</v>
      </c>
      <c r="Q914" s="1">
        <f t="shared" si="481"/>
        <v>0</v>
      </c>
      <c r="R914" s="1">
        <v>0</v>
      </c>
      <c r="S914" s="1">
        <f t="shared" si="482"/>
        <v>0</v>
      </c>
      <c r="T914" s="1">
        <v>0</v>
      </c>
      <c r="U914" s="1">
        <v>200000</v>
      </c>
      <c r="V914" s="1">
        <v>0</v>
      </c>
      <c r="W914" s="1">
        <v>0</v>
      </c>
      <c r="X914" s="1">
        <v>0</v>
      </c>
      <c r="Y914" s="1">
        <v>0</v>
      </c>
      <c r="Z914" s="1">
        <v>0</v>
      </c>
      <c r="AA914" s="1">
        <v>0</v>
      </c>
      <c r="AB914" s="1">
        <v>0</v>
      </c>
      <c r="AC914" s="1">
        <v>0</v>
      </c>
      <c r="AD914" s="1">
        <v>0</v>
      </c>
    </row>
    <row r="915" spans="1:30" s="20" customFormat="1" ht="36" customHeight="1" x14ac:dyDescent="0.25">
      <c r="A915" s="2">
        <f t="shared" si="478"/>
        <v>887</v>
      </c>
      <c r="B915" s="6">
        <f t="shared" si="479"/>
        <v>887</v>
      </c>
      <c r="C915" s="19" t="s">
        <v>1048</v>
      </c>
      <c r="D915" s="4">
        <f t="shared" si="476"/>
        <v>26637620.25</v>
      </c>
      <c r="E915" s="1">
        <f t="shared" si="480"/>
        <v>15085070.249999998</v>
      </c>
      <c r="F915" s="1">
        <f>804*3843.33</f>
        <v>3090037.32</v>
      </c>
      <c r="G915" s="1">
        <f>1693*3843.33</f>
        <v>6506757.6899999995</v>
      </c>
      <c r="H915" s="1">
        <f>390*3843.33</f>
        <v>1498898.7</v>
      </c>
      <c r="I915" s="1">
        <f>571*3843.33</f>
        <v>2194541.4300000002</v>
      </c>
      <c r="J915" s="1">
        <f>467*3843.33</f>
        <v>1794835.1099999999</v>
      </c>
      <c r="K915" s="1">
        <v>0</v>
      </c>
      <c r="L915" s="2">
        <v>0</v>
      </c>
      <c r="M915" s="1">
        <v>0</v>
      </c>
      <c r="N915" s="1">
        <v>855</v>
      </c>
      <c r="O915" s="1">
        <f>N915*7750</f>
        <v>6626250</v>
      </c>
      <c r="P915" s="1">
        <v>0</v>
      </c>
      <c r="Q915" s="1">
        <f t="shared" si="481"/>
        <v>0</v>
      </c>
      <c r="R915" s="1">
        <v>1300</v>
      </c>
      <c r="S915" s="1">
        <f t="shared" si="482"/>
        <v>4876300</v>
      </c>
      <c r="T915" s="1">
        <v>0</v>
      </c>
      <c r="U915" s="1">
        <v>50000</v>
      </c>
      <c r="V915" s="1">
        <v>0</v>
      </c>
      <c r="W915" s="1">
        <v>0</v>
      </c>
      <c r="X915" s="1">
        <v>0</v>
      </c>
      <c r="Y915" s="1">
        <v>0</v>
      </c>
      <c r="Z915" s="1">
        <v>0</v>
      </c>
      <c r="AA915" s="1">
        <v>0</v>
      </c>
      <c r="AB915" s="1">
        <v>0</v>
      </c>
      <c r="AC915" s="1">
        <v>0</v>
      </c>
      <c r="AD915" s="1">
        <v>0</v>
      </c>
    </row>
    <row r="916" spans="1:30" s="20" customFormat="1" ht="36" customHeight="1" x14ac:dyDescent="0.25">
      <c r="A916" s="2">
        <f t="shared" si="478"/>
        <v>888</v>
      </c>
      <c r="B916" s="6">
        <f t="shared" si="479"/>
        <v>888</v>
      </c>
      <c r="C916" s="19" t="s">
        <v>2164</v>
      </c>
      <c r="D916" s="4">
        <f t="shared" si="476"/>
        <v>20011370.25</v>
      </c>
      <c r="E916" s="1">
        <f t="shared" si="480"/>
        <v>15085070.249999998</v>
      </c>
      <c r="F916" s="1">
        <f>804*3843.33</f>
        <v>3090037.32</v>
      </c>
      <c r="G916" s="1">
        <f>1693*3843.33</f>
        <v>6506757.6899999995</v>
      </c>
      <c r="H916" s="1">
        <f>390*3843.33</f>
        <v>1498898.7</v>
      </c>
      <c r="I916" s="1">
        <f>571*3843.33</f>
        <v>2194541.4300000002</v>
      </c>
      <c r="J916" s="1">
        <f>467*3843.33</f>
        <v>1794835.1099999999</v>
      </c>
      <c r="K916" s="1">
        <v>0</v>
      </c>
      <c r="L916" s="2">
        <v>0</v>
      </c>
      <c r="M916" s="1">
        <v>0</v>
      </c>
      <c r="N916" s="1">
        <v>0</v>
      </c>
      <c r="O916" s="1">
        <v>0</v>
      </c>
      <c r="P916" s="1">
        <v>0</v>
      </c>
      <c r="Q916" s="1">
        <f t="shared" si="481"/>
        <v>0</v>
      </c>
      <c r="R916" s="1">
        <v>1300</v>
      </c>
      <c r="S916" s="1">
        <f t="shared" si="482"/>
        <v>4876300</v>
      </c>
      <c r="T916" s="1">
        <v>0</v>
      </c>
      <c r="U916" s="1">
        <v>50000</v>
      </c>
      <c r="V916" s="1">
        <v>0</v>
      </c>
      <c r="W916" s="1">
        <v>0</v>
      </c>
      <c r="X916" s="1">
        <v>0</v>
      </c>
      <c r="Y916" s="1">
        <v>0</v>
      </c>
      <c r="Z916" s="1">
        <v>0</v>
      </c>
      <c r="AA916" s="1">
        <v>0</v>
      </c>
      <c r="AB916" s="1">
        <v>0</v>
      </c>
      <c r="AC916" s="1">
        <v>0</v>
      </c>
      <c r="AD916" s="1">
        <v>0</v>
      </c>
    </row>
    <row r="917" spans="1:30" s="20" customFormat="1" ht="36" customHeight="1" x14ac:dyDescent="0.25">
      <c r="A917" s="2">
        <f t="shared" si="478"/>
        <v>889</v>
      </c>
      <c r="B917" s="6">
        <f t="shared" si="477"/>
        <v>889</v>
      </c>
      <c r="C917" s="30" t="s">
        <v>510</v>
      </c>
      <c r="D917" s="4">
        <f t="shared" si="476"/>
        <v>15815307</v>
      </c>
      <c r="E917" s="1">
        <f t="shared" si="468"/>
        <v>9462390</v>
      </c>
      <c r="F917" s="1">
        <f>804*2410.8</f>
        <v>1938283.2000000002</v>
      </c>
      <c r="G917" s="1">
        <f>1693*2410.8</f>
        <v>4081484.4000000004</v>
      </c>
      <c r="H917" s="1">
        <f>390*2410.8</f>
        <v>940212.00000000012</v>
      </c>
      <c r="I917" s="1">
        <f>571*2410.8</f>
        <v>1376566.8</v>
      </c>
      <c r="J917" s="1">
        <f>467*2410.8</f>
        <v>1125843.6000000001</v>
      </c>
      <c r="K917" s="1">
        <v>0</v>
      </c>
      <c r="L917" s="2">
        <v>0</v>
      </c>
      <c r="M917" s="1">
        <f t="shared" si="469"/>
        <v>0</v>
      </c>
      <c r="N917" s="1">
        <v>0</v>
      </c>
      <c r="O917" s="1">
        <v>0</v>
      </c>
      <c r="P917" s="1">
        <v>0</v>
      </c>
      <c r="Q917" s="1">
        <f t="shared" si="466"/>
        <v>0</v>
      </c>
      <c r="R917" s="1">
        <v>1667</v>
      </c>
      <c r="S917" s="1">
        <f t="shared" si="467"/>
        <v>6252917</v>
      </c>
      <c r="T917" s="1">
        <v>0</v>
      </c>
      <c r="U917" s="1">
        <v>50000</v>
      </c>
      <c r="V917" s="1">
        <v>0</v>
      </c>
      <c r="W917" s="1">
        <v>50000</v>
      </c>
      <c r="X917" s="1">
        <v>0</v>
      </c>
      <c r="Y917" s="1">
        <v>0</v>
      </c>
      <c r="Z917" s="1">
        <v>0</v>
      </c>
      <c r="AA917" s="1">
        <v>0</v>
      </c>
      <c r="AB917" s="1">
        <v>0</v>
      </c>
      <c r="AC917" s="1">
        <v>0</v>
      </c>
      <c r="AD917" s="1">
        <v>0</v>
      </c>
    </row>
    <row r="918" spans="1:30" s="20" customFormat="1" ht="36" customHeight="1" x14ac:dyDescent="0.25">
      <c r="A918" s="2">
        <f t="shared" si="478"/>
        <v>890</v>
      </c>
      <c r="B918" s="6">
        <f t="shared" si="477"/>
        <v>890</v>
      </c>
      <c r="C918" s="30" t="s">
        <v>511</v>
      </c>
      <c r="D918" s="4">
        <f t="shared" si="476"/>
        <v>13120929.999999998</v>
      </c>
      <c r="E918" s="1">
        <f t="shared" si="468"/>
        <v>12950929.999999998</v>
      </c>
      <c r="F918" s="1">
        <f>804*3299.6</f>
        <v>2652878.4</v>
      </c>
      <c r="G918" s="1">
        <f>1693*3299.6</f>
        <v>5586222.7999999998</v>
      </c>
      <c r="H918" s="1">
        <f>390*3299.6</f>
        <v>1286844</v>
      </c>
      <c r="I918" s="1">
        <f>571*3299.6</f>
        <v>1884071.5999999999</v>
      </c>
      <c r="J918" s="1">
        <f>467*3299.6</f>
        <v>1540913.2</v>
      </c>
      <c r="K918" s="1">
        <v>0</v>
      </c>
      <c r="L918" s="2">
        <v>0</v>
      </c>
      <c r="M918" s="1">
        <f t="shared" si="469"/>
        <v>0</v>
      </c>
      <c r="N918" s="1">
        <v>0</v>
      </c>
      <c r="O918" s="1">
        <v>0</v>
      </c>
      <c r="P918" s="1">
        <v>50</v>
      </c>
      <c r="Q918" s="1">
        <f t="shared" si="466"/>
        <v>70000</v>
      </c>
      <c r="R918" s="1">
        <v>0</v>
      </c>
      <c r="S918" s="1">
        <f t="shared" si="467"/>
        <v>0</v>
      </c>
      <c r="T918" s="1">
        <v>0</v>
      </c>
      <c r="U918" s="1">
        <v>50000</v>
      </c>
      <c r="V918" s="1">
        <v>0</v>
      </c>
      <c r="W918" s="1">
        <v>50000</v>
      </c>
      <c r="X918" s="1">
        <v>0</v>
      </c>
      <c r="Y918" s="1">
        <v>0</v>
      </c>
      <c r="Z918" s="1">
        <v>0</v>
      </c>
      <c r="AA918" s="1">
        <v>0</v>
      </c>
      <c r="AB918" s="1">
        <v>0</v>
      </c>
      <c r="AC918" s="1">
        <v>0</v>
      </c>
      <c r="AD918" s="1">
        <v>0</v>
      </c>
    </row>
    <row r="919" spans="1:30" s="20" customFormat="1" ht="36" customHeight="1" x14ac:dyDescent="0.25">
      <c r="A919" s="2">
        <f t="shared" si="478"/>
        <v>891</v>
      </c>
      <c r="B919" s="6">
        <f t="shared" si="477"/>
        <v>891</v>
      </c>
      <c r="C919" s="30" t="s">
        <v>512</v>
      </c>
      <c r="D919" s="4">
        <f t="shared" si="476"/>
        <v>16684116.249999998</v>
      </c>
      <c r="E919" s="1">
        <f t="shared" si="468"/>
        <v>12082916.249999998</v>
      </c>
      <c r="F919" s="1">
        <f>804*3078.45</f>
        <v>2475073.7999999998</v>
      </c>
      <c r="G919" s="1">
        <f>1693*3078.45</f>
        <v>5211815.8499999996</v>
      </c>
      <c r="H919" s="1">
        <f>390*3078.45</f>
        <v>1200595.5</v>
      </c>
      <c r="I919" s="1">
        <f>571*3078.45</f>
        <v>1757794.95</v>
      </c>
      <c r="J919" s="1">
        <f>467*3078.45</f>
        <v>1437636.15</v>
      </c>
      <c r="K919" s="1">
        <v>0</v>
      </c>
      <c r="L919" s="2">
        <v>0</v>
      </c>
      <c r="M919" s="1">
        <f t="shared" si="469"/>
        <v>0</v>
      </c>
      <c r="N919" s="1">
        <v>0</v>
      </c>
      <c r="O919" s="1">
        <v>0</v>
      </c>
      <c r="P919" s="1">
        <v>0</v>
      </c>
      <c r="Q919" s="1">
        <f t="shared" si="466"/>
        <v>0</v>
      </c>
      <c r="R919" s="1">
        <v>1200</v>
      </c>
      <c r="S919" s="1">
        <f t="shared" si="467"/>
        <v>4501200</v>
      </c>
      <c r="T919" s="1">
        <v>0</v>
      </c>
      <c r="U919" s="1">
        <v>50000</v>
      </c>
      <c r="V919" s="1">
        <v>0</v>
      </c>
      <c r="W919" s="1">
        <v>50000</v>
      </c>
      <c r="X919" s="1">
        <v>0</v>
      </c>
      <c r="Y919" s="1">
        <v>0</v>
      </c>
      <c r="Z919" s="1">
        <v>0</v>
      </c>
      <c r="AA919" s="1">
        <v>0</v>
      </c>
      <c r="AB919" s="1">
        <v>0</v>
      </c>
      <c r="AC919" s="1">
        <v>0</v>
      </c>
      <c r="AD919" s="1">
        <v>0</v>
      </c>
    </row>
    <row r="920" spans="1:30" s="20" customFormat="1" ht="36" customHeight="1" x14ac:dyDescent="0.25">
      <c r="A920" s="2">
        <f t="shared" si="478"/>
        <v>892</v>
      </c>
      <c r="B920" s="6">
        <f t="shared" si="477"/>
        <v>892</v>
      </c>
      <c r="C920" s="30" t="s">
        <v>513</v>
      </c>
      <c r="D920" s="4">
        <f t="shared" si="476"/>
        <v>18490663.75</v>
      </c>
      <c r="E920" s="1">
        <f t="shared" si="468"/>
        <v>13514363.750000002</v>
      </c>
      <c r="F920" s="1">
        <f>804*3443.15</f>
        <v>2768292.6</v>
      </c>
      <c r="G920" s="1">
        <f>1693*3443.15</f>
        <v>5829252.9500000002</v>
      </c>
      <c r="H920" s="1">
        <f>390*3443.15</f>
        <v>1342828.5</v>
      </c>
      <c r="I920" s="1">
        <f>571*3443.15</f>
        <v>1966038.6500000001</v>
      </c>
      <c r="J920" s="1">
        <f>467*3443.15</f>
        <v>1607951.05</v>
      </c>
      <c r="K920" s="1">
        <v>0</v>
      </c>
      <c r="L920" s="2">
        <v>0</v>
      </c>
      <c r="M920" s="1">
        <f t="shared" si="469"/>
        <v>0</v>
      </c>
      <c r="N920" s="1">
        <v>0</v>
      </c>
      <c r="O920" s="1">
        <v>0</v>
      </c>
      <c r="P920" s="1">
        <v>0</v>
      </c>
      <c r="Q920" s="1">
        <f t="shared" si="466"/>
        <v>0</v>
      </c>
      <c r="R920" s="1">
        <v>1300</v>
      </c>
      <c r="S920" s="1">
        <f t="shared" si="467"/>
        <v>4876300</v>
      </c>
      <c r="T920" s="1">
        <v>0</v>
      </c>
      <c r="U920" s="1">
        <v>50000</v>
      </c>
      <c r="V920" s="1">
        <v>0</v>
      </c>
      <c r="W920" s="1">
        <v>50000</v>
      </c>
      <c r="X920" s="1">
        <v>0</v>
      </c>
      <c r="Y920" s="1">
        <v>0</v>
      </c>
      <c r="Z920" s="1">
        <v>0</v>
      </c>
      <c r="AA920" s="1">
        <v>0</v>
      </c>
      <c r="AB920" s="1">
        <v>0</v>
      </c>
      <c r="AC920" s="1">
        <v>0</v>
      </c>
      <c r="AD920" s="1">
        <v>0</v>
      </c>
    </row>
    <row r="921" spans="1:30" s="20" customFormat="1" ht="36" customHeight="1" x14ac:dyDescent="0.25">
      <c r="A921" s="2">
        <f t="shared" si="478"/>
        <v>893</v>
      </c>
      <c r="B921" s="6">
        <f t="shared" si="477"/>
        <v>893</v>
      </c>
      <c r="C921" s="30" t="s">
        <v>514</v>
      </c>
      <c r="D921" s="4">
        <f t="shared" si="476"/>
        <v>29092162.5</v>
      </c>
      <c r="E921" s="1">
        <f t="shared" si="468"/>
        <v>20364862.5</v>
      </c>
      <c r="F921" s="1">
        <f>804*5188.5</f>
        <v>4171554</v>
      </c>
      <c r="G921" s="1">
        <f>1693*5188.5</f>
        <v>8784130.5</v>
      </c>
      <c r="H921" s="1">
        <f>390*5188.5</f>
        <v>2023515</v>
      </c>
      <c r="I921" s="1">
        <f>571*5188.5</f>
        <v>2962633.5</v>
      </c>
      <c r="J921" s="1">
        <f>467*5188.5</f>
        <v>2423029.5</v>
      </c>
      <c r="K921" s="1">
        <v>0</v>
      </c>
      <c r="L921" s="2">
        <v>0</v>
      </c>
      <c r="M921" s="1">
        <f t="shared" si="469"/>
        <v>0</v>
      </c>
      <c r="N921" s="1">
        <v>0</v>
      </c>
      <c r="O921" s="1">
        <v>0</v>
      </c>
      <c r="P921" s="1">
        <v>0</v>
      </c>
      <c r="Q921" s="1">
        <f t="shared" si="466"/>
        <v>0</v>
      </c>
      <c r="R921" s="1">
        <v>2300</v>
      </c>
      <c r="S921" s="1">
        <f t="shared" si="467"/>
        <v>8627300</v>
      </c>
      <c r="T921" s="1">
        <v>0</v>
      </c>
      <c r="U921" s="1">
        <v>50000</v>
      </c>
      <c r="V921" s="1">
        <v>0</v>
      </c>
      <c r="W921" s="1">
        <v>50000</v>
      </c>
      <c r="X921" s="1">
        <v>0</v>
      </c>
      <c r="Y921" s="1">
        <v>0</v>
      </c>
      <c r="Z921" s="1">
        <v>0</v>
      </c>
      <c r="AA921" s="1">
        <v>0</v>
      </c>
      <c r="AB921" s="1">
        <v>0</v>
      </c>
      <c r="AC921" s="1">
        <v>0</v>
      </c>
      <c r="AD921" s="1">
        <v>0</v>
      </c>
    </row>
    <row r="922" spans="1:30" s="20" customFormat="1" ht="36" customHeight="1" x14ac:dyDescent="0.25">
      <c r="A922" s="2">
        <f t="shared" si="478"/>
        <v>894</v>
      </c>
      <c r="B922" s="6">
        <f t="shared" si="477"/>
        <v>894</v>
      </c>
      <c r="C922" s="30" t="s">
        <v>515</v>
      </c>
      <c r="D922" s="4">
        <f t="shared" si="476"/>
        <v>28228387.75</v>
      </c>
      <c r="E922" s="1">
        <f t="shared" si="468"/>
        <v>19501087.75</v>
      </c>
      <c r="F922" s="1">
        <f>804*4968.43</f>
        <v>3994617.72</v>
      </c>
      <c r="G922" s="1">
        <f>1693*4968.43</f>
        <v>8411551.9900000002</v>
      </c>
      <c r="H922" s="1">
        <f>390*4968.43</f>
        <v>1937687.7000000002</v>
      </c>
      <c r="I922" s="1">
        <f>571*4968.43</f>
        <v>2836973.5300000003</v>
      </c>
      <c r="J922" s="1">
        <f>467*4968.43</f>
        <v>2320256.81</v>
      </c>
      <c r="K922" s="1">
        <v>0</v>
      </c>
      <c r="L922" s="2">
        <v>0</v>
      </c>
      <c r="M922" s="1">
        <f t="shared" si="469"/>
        <v>0</v>
      </c>
      <c r="N922" s="1">
        <v>0</v>
      </c>
      <c r="O922" s="1">
        <v>0</v>
      </c>
      <c r="P922" s="1">
        <v>0</v>
      </c>
      <c r="Q922" s="1">
        <f t="shared" si="466"/>
        <v>0</v>
      </c>
      <c r="R922" s="1">
        <v>2300</v>
      </c>
      <c r="S922" s="1">
        <f t="shared" si="467"/>
        <v>8627300</v>
      </c>
      <c r="T922" s="1">
        <v>0</v>
      </c>
      <c r="U922" s="1">
        <v>50000</v>
      </c>
      <c r="V922" s="1">
        <v>0</v>
      </c>
      <c r="W922" s="1">
        <v>50000</v>
      </c>
      <c r="X922" s="1">
        <v>0</v>
      </c>
      <c r="Y922" s="1">
        <v>0</v>
      </c>
      <c r="Z922" s="1">
        <v>0</v>
      </c>
      <c r="AA922" s="1">
        <v>0</v>
      </c>
      <c r="AB922" s="1">
        <v>0</v>
      </c>
      <c r="AC922" s="1">
        <v>0</v>
      </c>
      <c r="AD922" s="1">
        <v>0</v>
      </c>
    </row>
    <row r="923" spans="1:30" s="20" customFormat="1" ht="36" customHeight="1" x14ac:dyDescent="0.25">
      <c r="A923" s="2">
        <f t="shared" si="478"/>
        <v>895</v>
      </c>
      <c r="B923" s="6">
        <f t="shared" si="477"/>
        <v>895</v>
      </c>
      <c r="C923" s="19" t="s">
        <v>516</v>
      </c>
      <c r="D923" s="4">
        <f t="shared" si="476"/>
        <v>3182227.5</v>
      </c>
      <c r="E923" s="1">
        <f t="shared" si="468"/>
        <v>1506807.4999999998</v>
      </c>
      <c r="F923" s="1">
        <f>804*383.9</f>
        <v>308655.59999999998</v>
      </c>
      <c r="G923" s="1">
        <f>1693*383.9</f>
        <v>649942.69999999995</v>
      </c>
      <c r="H923" s="1">
        <f>390*383.9</f>
        <v>149721</v>
      </c>
      <c r="I923" s="1">
        <f>571*383.9</f>
        <v>219206.9</v>
      </c>
      <c r="J923" s="1">
        <f>467*383.9</f>
        <v>179281.3</v>
      </c>
      <c r="K923" s="1">
        <v>0</v>
      </c>
      <c r="L923" s="2">
        <v>0</v>
      </c>
      <c r="M923" s="1">
        <f t="shared" si="469"/>
        <v>0</v>
      </c>
      <c r="N923" s="1">
        <v>0</v>
      </c>
      <c r="O923" s="1">
        <v>0</v>
      </c>
      <c r="P923" s="1">
        <v>0</v>
      </c>
      <c r="Q923" s="1">
        <f t="shared" si="466"/>
        <v>0</v>
      </c>
      <c r="R923" s="1">
        <v>420</v>
      </c>
      <c r="S923" s="1">
        <f t="shared" si="467"/>
        <v>1575420</v>
      </c>
      <c r="T923" s="1">
        <v>0</v>
      </c>
      <c r="U923" s="1">
        <v>50000</v>
      </c>
      <c r="V923" s="1">
        <v>0</v>
      </c>
      <c r="W923" s="1">
        <v>50000</v>
      </c>
      <c r="X923" s="1">
        <v>0</v>
      </c>
      <c r="Y923" s="1">
        <v>0</v>
      </c>
      <c r="Z923" s="1">
        <v>0</v>
      </c>
      <c r="AA923" s="1">
        <v>0</v>
      </c>
      <c r="AB923" s="1">
        <v>0</v>
      </c>
      <c r="AC923" s="1">
        <v>0</v>
      </c>
      <c r="AD923" s="1">
        <v>0</v>
      </c>
    </row>
    <row r="924" spans="1:30" s="20" customFormat="1" ht="36" customHeight="1" x14ac:dyDescent="0.25">
      <c r="A924" s="2">
        <f t="shared" si="478"/>
        <v>896</v>
      </c>
      <c r="B924" s="6">
        <f t="shared" si="477"/>
        <v>896</v>
      </c>
      <c r="C924" s="19" t="s">
        <v>517</v>
      </c>
      <c r="D924" s="4">
        <f t="shared" si="476"/>
        <v>4552837.5</v>
      </c>
      <c r="E924" s="1">
        <f t="shared" si="468"/>
        <v>2877417.5000000005</v>
      </c>
      <c r="F924" s="1">
        <f>804*733.1</f>
        <v>589412.4</v>
      </c>
      <c r="G924" s="1">
        <f>1693*733.1</f>
        <v>1241138.3</v>
      </c>
      <c r="H924" s="1">
        <f>390*733.1</f>
        <v>285909</v>
      </c>
      <c r="I924" s="1">
        <f>571*733.1</f>
        <v>418600.10000000003</v>
      </c>
      <c r="J924" s="1">
        <f>467*733.1</f>
        <v>342357.7</v>
      </c>
      <c r="K924" s="1">
        <v>0</v>
      </c>
      <c r="L924" s="2">
        <v>0</v>
      </c>
      <c r="M924" s="1">
        <f t="shared" si="469"/>
        <v>0</v>
      </c>
      <c r="N924" s="1">
        <v>0</v>
      </c>
      <c r="O924" s="1">
        <v>0</v>
      </c>
      <c r="P924" s="1">
        <v>0</v>
      </c>
      <c r="Q924" s="1">
        <f t="shared" si="466"/>
        <v>0</v>
      </c>
      <c r="R924" s="1">
        <v>420</v>
      </c>
      <c r="S924" s="1">
        <f t="shared" si="467"/>
        <v>1575420</v>
      </c>
      <c r="T924" s="1">
        <v>0</v>
      </c>
      <c r="U924" s="1">
        <v>50000</v>
      </c>
      <c r="V924" s="1">
        <v>0</v>
      </c>
      <c r="W924" s="1">
        <v>50000</v>
      </c>
      <c r="X924" s="1">
        <v>0</v>
      </c>
      <c r="Y924" s="1">
        <v>0</v>
      </c>
      <c r="Z924" s="1">
        <v>0</v>
      </c>
      <c r="AA924" s="1">
        <v>0</v>
      </c>
      <c r="AB924" s="1">
        <v>0</v>
      </c>
      <c r="AC924" s="1">
        <v>0</v>
      </c>
      <c r="AD924" s="1">
        <v>0</v>
      </c>
    </row>
    <row r="925" spans="1:30" s="20" customFormat="1" ht="36" customHeight="1" x14ac:dyDescent="0.25">
      <c r="A925" s="2">
        <f t="shared" si="478"/>
        <v>897</v>
      </c>
      <c r="B925" s="6">
        <f>A925</f>
        <v>897</v>
      </c>
      <c r="C925" s="19" t="s">
        <v>1749</v>
      </c>
      <c r="D925" s="4">
        <f t="shared" si="476"/>
        <v>7200000</v>
      </c>
      <c r="E925" s="1">
        <f>SUM(F925:K925)</f>
        <v>0</v>
      </c>
      <c r="F925" s="1">
        <v>0</v>
      </c>
      <c r="G925" s="1">
        <v>0</v>
      </c>
      <c r="H925" s="1">
        <v>0</v>
      </c>
      <c r="I925" s="1">
        <v>0</v>
      </c>
      <c r="J925" s="1">
        <v>0</v>
      </c>
      <c r="K925" s="1">
        <v>0</v>
      </c>
      <c r="L925" s="2">
        <v>2</v>
      </c>
      <c r="M925" s="1">
        <f>L925*3500000</f>
        <v>7000000</v>
      </c>
      <c r="N925" s="1">
        <v>0</v>
      </c>
      <c r="O925" s="1">
        <v>0</v>
      </c>
      <c r="P925" s="1">
        <v>0</v>
      </c>
      <c r="Q925" s="1">
        <f>P925*1400</f>
        <v>0</v>
      </c>
      <c r="R925" s="1">
        <v>0</v>
      </c>
      <c r="S925" s="1">
        <f>R925*3751</f>
        <v>0</v>
      </c>
      <c r="T925" s="1">
        <v>0</v>
      </c>
      <c r="U925" s="1">
        <v>200000</v>
      </c>
      <c r="V925" s="1">
        <v>0</v>
      </c>
      <c r="W925" s="1">
        <v>0</v>
      </c>
      <c r="X925" s="1">
        <v>0</v>
      </c>
      <c r="Y925" s="1">
        <v>0</v>
      </c>
      <c r="Z925" s="1">
        <v>0</v>
      </c>
      <c r="AA925" s="1">
        <v>0</v>
      </c>
      <c r="AB925" s="1">
        <v>0</v>
      </c>
      <c r="AC925" s="1">
        <v>0</v>
      </c>
      <c r="AD925" s="1">
        <v>0</v>
      </c>
    </row>
    <row r="926" spans="1:30" s="20" customFormat="1" ht="36" customHeight="1" x14ac:dyDescent="0.25">
      <c r="A926" s="2">
        <f t="shared" si="478"/>
        <v>898</v>
      </c>
      <c r="B926" s="6">
        <f>A926</f>
        <v>898</v>
      </c>
      <c r="C926" s="19" t="s">
        <v>523</v>
      </c>
      <c r="D926" s="4">
        <f t="shared" si="476"/>
        <v>9581040</v>
      </c>
      <c r="E926" s="1">
        <f>SUM(F926:K926)</f>
        <v>6667789.9999999991</v>
      </c>
      <c r="F926" s="1">
        <f>804*1698.8</f>
        <v>1365835.2</v>
      </c>
      <c r="G926" s="1">
        <f>1693*1698.8</f>
        <v>2876068.4</v>
      </c>
      <c r="H926" s="1">
        <f>390*1698.8</f>
        <v>662532</v>
      </c>
      <c r="I926" s="1">
        <f>571*1698.8</f>
        <v>970014.79999999993</v>
      </c>
      <c r="J926" s="1">
        <f>467*1698.8</f>
        <v>793339.6</v>
      </c>
      <c r="K926" s="1">
        <v>0</v>
      </c>
      <c r="L926" s="2">
        <v>0</v>
      </c>
      <c r="M926" s="1">
        <f>L926*3500000</f>
        <v>0</v>
      </c>
      <c r="N926" s="1">
        <v>0</v>
      </c>
      <c r="O926" s="1">
        <v>0</v>
      </c>
      <c r="P926" s="1">
        <v>0</v>
      </c>
      <c r="Q926" s="1">
        <f>P926*1400</f>
        <v>0</v>
      </c>
      <c r="R926" s="1">
        <v>750</v>
      </c>
      <c r="S926" s="1">
        <f>R926*3751</f>
        <v>2813250</v>
      </c>
      <c r="T926" s="1">
        <v>0</v>
      </c>
      <c r="U926" s="1">
        <v>50000</v>
      </c>
      <c r="V926" s="1">
        <v>0</v>
      </c>
      <c r="W926" s="1">
        <v>50000</v>
      </c>
      <c r="X926" s="1">
        <v>0</v>
      </c>
      <c r="Y926" s="1">
        <v>0</v>
      </c>
      <c r="Z926" s="1">
        <v>0</v>
      </c>
      <c r="AA926" s="1">
        <v>0</v>
      </c>
      <c r="AB926" s="1">
        <v>0</v>
      </c>
      <c r="AC926" s="1">
        <v>0</v>
      </c>
      <c r="AD926" s="1">
        <v>0</v>
      </c>
    </row>
    <row r="927" spans="1:30" s="20" customFormat="1" ht="36" customHeight="1" x14ac:dyDescent="0.25">
      <c r="A927" s="2">
        <f t="shared" si="478"/>
        <v>899</v>
      </c>
      <c r="B927" s="6">
        <f t="shared" si="477"/>
        <v>899</v>
      </c>
      <c r="C927" s="19" t="s">
        <v>1747</v>
      </c>
      <c r="D927" s="4">
        <f t="shared" si="476"/>
        <v>7200000</v>
      </c>
      <c r="E927" s="1">
        <f t="shared" si="468"/>
        <v>0</v>
      </c>
      <c r="F927" s="1">
        <v>0</v>
      </c>
      <c r="G927" s="1">
        <v>0</v>
      </c>
      <c r="H927" s="1">
        <v>0</v>
      </c>
      <c r="I927" s="1">
        <v>0</v>
      </c>
      <c r="J927" s="1">
        <v>0</v>
      </c>
      <c r="K927" s="1">
        <v>0</v>
      </c>
      <c r="L927" s="2">
        <v>2</v>
      </c>
      <c r="M927" s="1">
        <f t="shared" si="469"/>
        <v>7000000</v>
      </c>
      <c r="N927" s="1">
        <v>0</v>
      </c>
      <c r="O927" s="1">
        <v>0</v>
      </c>
      <c r="P927" s="1">
        <v>0</v>
      </c>
      <c r="Q927" s="1">
        <f t="shared" si="466"/>
        <v>0</v>
      </c>
      <c r="R927" s="1">
        <v>0</v>
      </c>
      <c r="S927" s="1">
        <f t="shared" si="467"/>
        <v>0</v>
      </c>
      <c r="T927" s="1">
        <v>0</v>
      </c>
      <c r="U927" s="1">
        <v>200000</v>
      </c>
      <c r="V927" s="1">
        <v>0</v>
      </c>
      <c r="W927" s="1">
        <v>0</v>
      </c>
      <c r="X927" s="1">
        <v>0</v>
      </c>
      <c r="Y927" s="1">
        <v>0</v>
      </c>
      <c r="Z927" s="1">
        <v>0</v>
      </c>
      <c r="AA927" s="1">
        <v>0</v>
      </c>
      <c r="AB927" s="1">
        <v>0</v>
      </c>
      <c r="AC927" s="1">
        <v>0</v>
      </c>
      <c r="AD927" s="1">
        <v>0</v>
      </c>
    </row>
    <row r="928" spans="1:30" s="20" customFormat="1" ht="36" customHeight="1" x14ac:dyDescent="0.25">
      <c r="A928" s="2">
        <f t="shared" si="478"/>
        <v>900</v>
      </c>
      <c r="B928" s="6">
        <f>A928</f>
        <v>900</v>
      </c>
      <c r="C928" s="19" t="s">
        <v>1748</v>
      </c>
      <c r="D928" s="4">
        <f t="shared" si="476"/>
        <v>3700000</v>
      </c>
      <c r="E928" s="1">
        <f>SUM(F928:K928)</f>
        <v>0</v>
      </c>
      <c r="F928" s="1">
        <v>0</v>
      </c>
      <c r="G928" s="1">
        <v>0</v>
      </c>
      <c r="H928" s="1">
        <v>0</v>
      </c>
      <c r="I928" s="1">
        <v>0</v>
      </c>
      <c r="J928" s="1">
        <v>0</v>
      </c>
      <c r="K928" s="1">
        <v>0</v>
      </c>
      <c r="L928" s="2">
        <v>1</v>
      </c>
      <c r="M928" s="1">
        <f t="shared" si="469"/>
        <v>3500000</v>
      </c>
      <c r="N928" s="1">
        <v>0</v>
      </c>
      <c r="O928" s="1">
        <v>0</v>
      </c>
      <c r="P928" s="1">
        <v>0</v>
      </c>
      <c r="Q928" s="1">
        <f>P928*1400</f>
        <v>0</v>
      </c>
      <c r="R928" s="1">
        <v>0</v>
      </c>
      <c r="S928" s="1">
        <f>R928*3751</f>
        <v>0</v>
      </c>
      <c r="T928" s="1">
        <v>0</v>
      </c>
      <c r="U928" s="1">
        <v>200000</v>
      </c>
      <c r="V928" s="1">
        <v>0</v>
      </c>
      <c r="W928" s="1">
        <v>0</v>
      </c>
      <c r="X928" s="1">
        <v>0</v>
      </c>
      <c r="Y928" s="1">
        <v>0</v>
      </c>
      <c r="Z928" s="1">
        <v>0</v>
      </c>
      <c r="AA928" s="1">
        <v>0</v>
      </c>
      <c r="AB928" s="1">
        <v>0</v>
      </c>
      <c r="AC928" s="1">
        <v>0</v>
      </c>
      <c r="AD928" s="1">
        <v>0</v>
      </c>
    </row>
    <row r="929" spans="1:30" s="20" customFormat="1" ht="36" customHeight="1" x14ac:dyDescent="0.25">
      <c r="A929" s="2">
        <f t="shared" si="478"/>
        <v>901</v>
      </c>
      <c r="B929" s="6">
        <f t="shared" si="477"/>
        <v>901</v>
      </c>
      <c r="C929" s="19" t="s">
        <v>518</v>
      </c>
      <c r="D929" s="4">
        <f t="shared" ref="D929:D992" si="483">E929+M929+O929+Q929+S929+T929+U929+V929+W929+X929+Z929+AA929+AB929+AC929+AD929</f>
        <v>3180146.25</v>
      </c>
      <c r="E929" s="1">
        <f t="shared" si="468"/>
        <v>1954846.2500000002</v>
      </c>
      <c r="F929" s="1">
        <f>804*498.05</f>
        <v>400432.2</v>
      </c>
      <c r="G929" s="1">
        <f>1693*498.05</f>
        <v>843198.65</v>
      </c>
      <c r="H929" s="1">
        <f>390*498.05</f>
        <v>194239.5</v>
      </c>
      <c r="I929" s="1">
        <f>571*498.05</f>
        <v>284386.55</v>
      </c>
      <c r="J929" s="1">
        <f>467*498.05</f>
        <v>232589.35</v>
      </c>
      <c r="K929" s="1">
        <v>0</v>
      </c>
      <c r="L929" s="2">
        <v>0</v>
      </c>
      <c r="M929" s="1">
        <f t="shared" si="469"/>
        <v>0</v>
      </c>
      <c r="N929" s="1">
        <v>0</v>
      </c>
      <c r="O929" s="1">
        <v>0</v>
      </c>
      <c r="P929" s="1">
        <v>0</v>
      </c>
      <c r="Q929" s="1">
        <f t="shared" si="466"/>
        <v>0</v>
      </c>
      <c r="R929" s="1">
        <v>300</v>
      </c>
      <c r="S929" s="1">
        <f t="shared" si="467"/>
        <v>1125300</v>
      </c>
      <c r="T929" s="1">
        <v>0</v>
      </c>
      <c r="U929" s="1">
        <v>50000</v>
      </c>
      <c r="V929" s="1">
        <v>0</v>
      </c>
      <c r="W929" s="1">
        <v>50000</v>
      </c>
      <c r="X929" s="1">
        <v>0</v>
      </c>
      <c r="Y929" s="1">
        <v>0</v>
      </c>
      <c r="Z929" s="1">
        <v>0</v>
      </c>
      <c r="AA929" s="1">
        <v>0</v>
      </c>
      <c r="AB929" s="1">
        <v>0</v>
      </c>
      <c r="AC929" s="1">
        <v>0</v>
      </c>
      <c r="AD929" s="1">
        <v>0</v>
      </c>
    </row>
    <row r="930" spans="1:30" s="20" customFormat="1" ht="36" customHeight="1" x14ac:dyDescent="0.25">
      <c r="A930" s="2">
        <f t="shared" si="478"/>
        <v>902</v>
      </c>
      <c r="B930" s="6">
        <f t="shared" si="477"/>
        <v>902</v>
      </c>
      <c r="C930" s="19" t="s">
        <v>519</v>
      </c>
      <c r="D930" s="4">
        <f t="shared" si="483"/>
        <v>3192510</v>
      </c>
      <c r="E930" s="1">
        <f t="shared" si="468"/>
        <v>1967209.9999999998</v>
      </c>
      <c r="F930" s="1">
        <f>804*501.2</f>
        <v>402964.8</v>
      </c>
      <c r="G930" s="1">
        <f>1693*501.2</f>
        <v>848531.6</v>
      </c>
      <c r="H930" s="1">
        <f>390*501.2</f>
        <v>195468</v>
      </c>
      <c r="I930" s="1">
        <f>571*501.2</f>
        <v>286185.2</v>
      </c>
      <c r="J930" s="1">
        <f>467*501.2</f>
        <v>234060.4</v>
      </c>
      <c r="K930" s="1">
        <v>0</v>
      </c>
      <c r="L930" s="2">
        <v>0</v>
      </c>
      <c r="M930" s="1">
        <f t="shared" si="469"/>
        <v>0</v>
      </c>
      <c r="N930" s="1">
        <v>0</v>
      </c>
      <c r="O930" s="1">
        <v>0</v>
      </c>
      <c r="P930" s="1">
        <v>0</v>
      </c>
      <c r="Q930" s="1">
        <f t="shared" si="466"/>
        <v>0</v>
      </c>
      <c r="R930" s="1">
        <v>300</v>
      </c>
      <c r="S930" s="1">
        <f t="shared" si="467"/>
        <v>1125300</v>
      </c>
      <c r="T930" s="1">
        <v>0</v>
      </c>
      <c r="U930" s="1">
        <v>50000</v>
      </c>
      <c r="V930" s="1">
        <v>0</v>
      </c>
      <c r="W930" s="1">
        <v>50000</v>
      </c>
      <c r="X930" s="1">
        <v>0</v>
      </c>
      <c r="Y930" s="1">
        <v>0</v>
      </c>
      <c r="Z930" s="1">
        <v>0</v>
      </c>
      <c r="AA930" s="1">
        <v>0</v>
      </c>
      <c r="AB930" s="1">
        <v>0</v>
      </c>
      <c r="AC930" s="1">
        <v>0</v>
      </c>
      <c r="AD930" s="1">
        <v>0</v>
      </c>
    </row>
    <row r="931" spans="1:30" s="20" customFormat="1" ht="36" customHeight="1" x14ac:dyDescent="0.25">
      <c r="A931" s="2">
        <f t="shared" si="478"/>
        <v>903</v>
      </c>
      <c r="B931" s="6">
        <f t="shared" si="477"/>
        <v>903</v>
      </c>
      <c r="C931" s="19" t="s">
        <v>520</v>
      </c>
      <c r="D931" s="4">
        <f t="shared" si="483"/>
        <v>6823935.25</v>
      </c>
      <c r="E931" s="1">
        <f t="shared" si="468"/>
        <v>4623375.25</v>
      </c>
      <c r="F931" s="1">
        <f>804*1177.93</f>
        <v>947055.72000000009</v>
      </c>
      <c r="G931" s="1">
        <f>1693*1177.93</f>
        <v>1994235.4900000002</v>
      </c>
      <c r="H931" s="1">
        <f>390*1177.93</f>
        <v>459392.7</v>
      </c>
      <c r="I931" s="1">
        <f>571*1177.93</f>
        <v>672598.03</v>
      </c>
      <c r="J931" s="1">
        <f>467*1177.93</f>
        <v>550093.31000000006</v>
      </c>
      <c r="K931" s="1">
        <v>0</v>
      </c>
      <c r="L931" s="2">
        <v>0</v>
      </c>
      <c r="M931" s="1">
        <f t="shared" si="469"/>
        <v>0</v>
      </c>
      <c r="N931" s="1">
        <v>0</v>
      </c>
      <c r="O931" s="1">
        <v>0</v>
      </c>
      <c r="P931" s="1">
        <v>0</v>
      </c>
      <c r="Q931" s="1">
        <f t="shared" si="466"/>
        <v>0</v>
      </c>
      <c r="R931" s="1">
        <v>560</v>
      </c>
      <c r="S931" s="1">
        <f t="shared" si="467"/>
        <v>2100560</v>
      </c>
      <c r="T931" s="1">
        <v>0</v>
      </c>
      <c r="U931" s="1">
        <v>50000</v>
      </c>
      <c r="V931" s="1">
        <v>0</v>
      </c>
      <c r="W931" s="1">
        <v>50000</v>
      </c>
      <c r="X931" s="1">
        <v>0</v>
      </c>
      <c r="Y931" s="1">
        <v>0</v>
      </c>
      <c r="Z931" s="1">
        <v>0</v>
      </c>
      <c r="AA931" s="1">
        <v>0</v>
      </c>
      <c r="AB931" s="1">
        <v>0</v>
      </c>
      <c r="AC931" s="1">
        <v>0</v>
      </c>
      <c r="AD931" s="1">
        <v>0</v>
      </c>
    </row>
    <row r="932" spans="1:30" s="20" customFormat="1" ht="36" customHeight="1" x14ac:dyDescent="0.25">
      <c r="A932" s="2">
        <f t="shared" si="478"/>
        <v>904</v>
      </c>
      <c r="B932" s="6">
        <f t="shared" si="477"/>
        <v>904</v>
      </c>
      <c r="C932" s="19" t="s">
        <v>521</v>
      </c>
      <c r="D932" s="4">
        <f t="shared" si="483"/>
        <v>2584368</v>
      </c>
      <c r="E932" s="1">
        <f t="shared" si="468"/>
        <v>2484368</v>
      </c>
      <c r="F932" s="1">
        <f>804*632.96</f>
        <v>508899.84000000003</v>
      </c>
      <c r="G932" s="1">
        <f>1693*632.96</f>
        <v>1071601.28</v>
      </c>
      <c r="H932" s="1">
        <f>390*632.96</f>
        <v>246854.40000000002</v>
      </c>
      <c r="I932" s="1">
        <f>571*632.96</f>
        <v>361420.16000000003</v>
      </c>
      <c r="J932" s="1">
        <f>467*632.96</f>
        <v>295592.32000000001</v>
      </c>
      <c r="K932" s="1">
        <v>0</v>
      </c>
      <c r="L932" s="2">
        <v>0</v>
      </c>
      <c r="M932" s="1">
        <f t="shared" si="469"/>
        <v>0</v>
      </c>
      <c r="N932" s="1">
        <v>0</v>
      </c>
      <c r="O932" s="1">
        <v>0</v>
      </c>
      <c r="P932" s="1">
        <v>0</v>
      </c>
      <c r="Q932" s="1">
        <f t="shared" si="466"/>
        <v>0</v>
      </c>
      <c r="R932" s="1">
        <v>0</v>
      </c>
      <c r="S932" s="1">
        <f t="shared" si="467"/>
        <v>0</v>
      </c>
      <c r="T932" s="1">
        <v>0</v>
      </c>
      <c r="U932" s="1">
        <v>50000</v>
      </c>
      <c r="V932" s="1">
        <v>0</v>
      </c>
      <c r="W932" s="1">
        <v>50000</v>
      </c>
      <c r="X932" s="1">
        <v>0</v>
      </c>
      <c r="Y932" s="1">
        <v>0</v>
      </c>
      <c r="Z932" s="1">
        <v>0</v>
      </c>
      <c r="AA932" s="1">
        <v>0</v>
      </c>
      <c r="AB932" s="1">
        <v>0</v>
      </c>
      <c r="AC932" s="1">
        <v>0</v>
      </c>
      <c r="AD932" s="1">
        <v>0</v>
      </c>
    </row>
    <row r="933" spans="1:30" s="20" customFormat="1" ht="36" customHeight="1" x14ac:dyDescent="0.25">
      <c r="A933" s="2">
        <f t="shared" si="478"/>
        <v>905</v>
      </c>
      <c r="B933" s="6">
        <f t="shared" si="477"/>
        <v>905</v>
      </c>
      <c r="C933" s="19" t="s">
        <v>522</v>
      </c>
      <c r="D933" s="4">
        <f t="shared" si="483"/>
        <v>5786466</v>
      </c>
      <c r="E933" s="1">
        <f t="shared" si="468"/>
        <v>3660926</v>
      </c>
      <c r="F933" s="1">
        <f>804*932.72</f>
        <v>749906.88</v>
      </c>
      <c r="G933" s="1">
        <f>1693*932.72</f>
        <v>1579094.96</v>
      </c>
      <c r="H933" s="1">
        <f>390*932.72</f>
        <v>363760.8</v>
      </c>
      <c r="I933" s="1">
        <f>571*932.72</f>
        <v>532583.12</v>
      </c>
      <c r="J933" s="1">
        <f>467*932.72</f>
        <v>435580.24</v>
      </c>
      <c r="K933" s="1">
        <v>0</v>
      </c>
      <c r="L933" s="2">
        <v>0</v>
      </c>
      <c r="M933" s="1">
        <f t="shared" si="469"/>
        <v>0</v>
      </c>
      <c r="N933" s="1">
        <v>0</v>
      </c>
      <c r="O933" s="1">
        <v>0</v>
      </c>
      <c r="P933" s="1">
        <v>0</v>
      </c>
      <c r="Q933" s="1">
        <f t="shared" si="466"/>
        <v>0</v>
      </c>
      <c r="R933" s="1">
        <v>540</v>
      </c>
      <c r="S933" s="1">
        <f t="shared" si="467"/>
        <v>2025540</v>
      </c>
      <c r="T933" s="1">
        <v>0</v>
      </c>
      <c r="U933" s="1">
        <v>50000</v>
      </c>
      <c r="V933" s="1">
        <v>0</v>
      </c>
      <c r="W933" s="1">
        <v>50000</v>
      </c>
      <c r="X933" s="1">
        <v>0</v>
      </c>
      <c r="Y933" s="1">
        <v>0</v>
      </c>
      <c r="Z933" s="1">
        <v>0</v>
      </c>
      <c r="AA933" s="1">
        <v>0</v>
      </c>
      <c r="AB933" s="1">
        <v>0</v>
      </c>
      <c r="AC933" s="1">
        <v>0</v>
      </c>
      <c r="AD933" s="1">
        <v>0</v>
      </c>
    </row>
    <row r="934" spans="1:30" s="20" customFormat="1" ht="36" customHeight="1" x14ac:dyDescent="0.25">
      <c r="A934" s="2">
        <f t="shared" si="478"/>
        <v>906</v>
      </c>
      <c r="B934" s="6">
        <f t="shared" si="477"/>
        <v>906</v>
      </c>
      <c r="C934" s="19" t="s">
        <v>524</v>
      </c>
      <c r="D934" s="4">
        <f t="shared" si="483"/>
        <v>29820045.25</v>
      </c>
      <c r="E934" s="1">
        <f t="shared" si="468"/>
        <v>15622795.249999998</v>
      </c>
      <c r="F934" s="1">
        <f>804*3980.33</f>
        <v>3200185.32</v>
      </c>
      <c r="G934" s="1">
        <f>1693*3980.33</f>
        <v>6738698.6899999995</v>
      </c>
      <c r="H934" s="1">
        <f>390*3980.33</f>
        <v>1552328.7</v>
      </c>
      <c r="I934" s="1">
        <f>571*3980.33</f>
        <v>2272768.4300000002</v>
      </c>
      <c r="J934" s="1">
        <f>467*3980.33</f>
        <v>1858814.1099999999</v>
      </c>
      <c r="K934" s="1">
        <v>0</v>
      </c>
      <c r="L934" s="2">
        <v>0</v>
      </c>
      <c r="M934" s="1">
        <f t="shared" si="469"/>
        <v>0</v>
      </c>
      <c r="N934" s="1">
        <v>1819</v>
      </c>
      <c r="O934" s="1">
        <f>N934*7750</f>
        <v>14097250</v>
      </c>
      <c r="P934" s="1">
        <v>0</v>
      </c>
      <c r="Q934" s="1">
        <f t="shared" si="466"/>
        <v>0</v>
      </c>
      <c r="R934" s="1">
        <v>0</v>
      </c>
      <c r="S934" s="1">
        <f t="shared" si="467"/>
        <v>0</v>
      </c>
      <c r="T934" s="1">
        <v>0</v>
      </c>
      <c r="U934" s="1">
        <v>50000</v>
      </c>
      <c r="V934" s="1">
        <v>0</v>
      </c>
      <c r="W934" s="1">
        <v>50000</v>
      </c>
      <c r="X934" s="1">
        <v>0</v>
      </c>
      <c r="Y934" s="1">
        <v>0</v>
      </c>
      <c r="Z934" s="1">
        <v>0</v>
      </c>
      <c r="AA934" s="1">
        <v>0</v>
      </c>
      <c r="AB934" s="1">
        <v>0</v>
      </c>
      <c r="AC934" s="1">
        <v>0</v>
      </c>
      <c r="AD934" s="1">
        <v>0</v>
      </c>
    </row>
    <row r="935" spans="1:30" s="20" customFormat="1" ht="36" customHeight="1" x14ac:dyDescent="0.25">
      <c r="A935" s="2">
        <f t="shared" si="478"/>
        <v>907</v>
      </c>
      <c r="B935" s="6">
        <f t="shared" si="477"/>
        <v>907</v>
      </c>
      <c r="C935" s="19" t="s">
        <v>525</v>
      </c>
      <c r="D935" s="4">
        <f t="shared" si="483"/>
        <v>3959181</v>
      </c>
      <c r="E935" s="1">
        <f t="shared" si="468"/>
        <v>2396291</v>
      </c>
      <c r="F935" s="1">
        <f>804*610.52</f>
        <v>490858.07999999996</v>
      </c>
      <c r="G935" s="1">
        <f>1693*610.52</f>
        <v>1033610.36</v>
      </c>
      <c r="H935" s="1">
        <f>390*610.52</f>
        <v>238102.8</v>
      </c>
      <c r="I935" s="1">
        <f>571*610.52</f>
        <v>348606.92</v>
      </c>
      <c r="J935" s="1">
        <f>467*610.52</f>
        <v>285112.83999999997</v>
      </c>
      <c r="K935" s="1">
        <v>0</v>
      </c>
      <c r="L935" s="2">
        <v>0</v>
      </c>
      <c r="M935" s="1">
        <f t="shared" si="469"/>
        <v>0</v>
      </c>
      <c r="N935" s="1">
        <v>0</v>
      </c>
      <c r="O935" s="1">
        <v>0</v>
      </c>
      <c r="P935" s="1">
        <v>0</v>
      </c>
      <c r="Q935" s="1">
        <f t="shared" ref="Q935:Q1016" si="484">P935*1400</f>
        <v>0</v>
      </c>
      <c r="R935" s="1">
        <v>390</v>
      </c>
      <c r="S935" s="1">
        <f t="shared" ref="S935:S1016" si="485">R935*3751</f>
        <v>1462890</v>
      </c>
      <c r="T935" s="1">
        <v>0</v>
      </c>
      <c r="U935" s="1">
        <v>50000</v>
      </c>
      <c r="V935" s="1">
        <v>0</v>
      </c>
      <c r="W935" s="1">
        <v>50000</v>
      </c>
      <c r="X935" s="1">
        <v>0</v>
      </c>
      <c r="Y935" s="1">
        <v>0</v>
      </c>
      <c r="Z935" s="1">
        <v>0</v>
      </c>
      <c r="AA935" s="1">
        <v>0</v>
      </c>
      <c r="AB935" s="1">
        <v>0</v>
      </c>
      <c r="AC935" s="1">
        <v>0</v>
      </c>
      <c r="AD935" s="1">
        <v>0</v>
      </c>
    </row>
    <row r="936" spans="1:30" s="20" customFormat="1" ht="36" customHeight="1" x14ac:dyDescent="0.25">
      <c r="A936" s="2">
        <f t="shared" si="478"/>
        <v>908</v>
      </c>
      <c r="B936" s="6">
        <f>A936</f>
        <v>908</v>
      </c>
      <c r="C936" s="19" t="s">
        <v>1051</v>
      </c>
      <c r="D936" s="4">
        <f t="shared" si="483"/>
        <v>17527374.240000002</v>
      </c>
      <c r="E936" s="1">
        <f>SUM(F936:K936)</f>
        <v>8383524.2400000002</v>
      </c>
      <c r="F936" s="1">
        <f>804*2499.56</f>
        <v>2009646.24</v>
      </c>
      <c r="G936" s="1">
        <f>1693*2499.56</f>
        <v>4231755.08</v>
      </c>
      <c r="H936" s="1">
        <f>390*2499.56</f>
        <v>974828.4</v>
      </c>
      <c r="I936" s="1">
        <v>0</v>
      </c>
      <c r="J936" s="1">
        <f>467*2499.56</f>
        <v>1167294.52</v>
      </c>
      <c r="K936" s="1">
        <v>0</v>
      </c>
      <c r="L936" s="2">
        <v>0</v>
      </c>
      <c r="M936" s="1">
        <v>0</v>
      </c>
      <c r="N936" s="1">
        <v>641</v>
      </c>
      <c r="O936" s="1">
        <f>N936*7750</f>
        <v>4967750</v>
      </c>
      <c r="P936" s="1">
        <v>0</v>
      </c>
      <c r="Q936" s="1">
        <f>P936*1400</f>
        <v>0</v>
      </c>
      <c r="R936" s="1">
        <v>1100</v>
      </c>
      <c r="S936" s="1">
        <f>R936*3751</f>
        <v>4126100</v>
      </c>
      <c r="T936" s="1">
        <v>0</v>
      </c>
      <c r="U936" s="1">
        <v>50000</v>
      </c>
      <c r="V936" s="1">
        <v>0</v>
      </c>
      <c r="W936" s="1">
        <v>0</v>
      </c>
      <c r="X936" s="1">
        <v>0</v>
      </c>
      <c r="Y936" s="1">
        <v>0</v>
      </c>
      <c r="Z936" s="1">
        <v>0</v>
      </c>
      <c r="AA936" s="1">
        <v>0</v>
      </c>
      <c r="AB936" s="1">
        <v>0</v>
      </c>
      <c r="AC936" s="1">
        <v>0</v>
      </c>
      <c r="AD936" s="1">
        <v>0</v>
      </c>
    </row>
    <row r="937" spans="1:30" s="20" customFormat="1" ht="36" customHeight="1" x14ac:dyDescent="0.25">
      <c r="A937" s="2">
        <f t="shared" si="478"/>
        <v>909</v>
      </c>
      <c r="B937" s="6">
        <f t="shared" si="477"/>
        <v>909</v>
      </c>
      <c r="C937" s="19" t="s">
        <v>526</v>
      </c>
      <c r="D937" s="4">
        <f t="shared" si="483"/>
        <v>10617439.5</v>
      </c>
      <c r="E937" s="1">
        <f t="shared" ref="E937:E1017" si="486">SUM(F937:K937)</f>
        <v>8316839.5</v>
      </c>
      <c r="F937" s="1">
        <f>804*2118.94</f>
        <v>1703627.76</v>
      </c>
      <c r="G937" s="1">
        <f>1693*2118.94</f>
        <v>3587365.42</v>
      </c>
      <c r="H937" s="1">
        <f>390*2118.94</f>
        <v>826386.6</v>
      </c>
      <c r="I937" s="1">
        <f>571*2118.94</f>
        <v>1209914.74</v>
      </c>
      <c r="J937" s="1">
        <f>467*2118.94</f>
        <v>989544.98</v>
      </c>
      <c r="K937" s="1">
        <v>0</v>
      </c>
      <c r="L937" s="2">
        <v>0</v>
      </c>
      <c r="M937" s="1">
        <f t="shared" si="469"/>
        <v>0</v>
      </c>
      <c r="N937" s="1">
        <v>0</v>
      </c>
      <c r="O937" s="1">
        <v>0</v>
      </c>
      <c r="P937" s="1">
        <v>0</v>
      </c>
      <c r="Q937" s="1">
        <f t="shared" si="484"/>
        <v>0</v>
      </c>
      <c r="R937" s="1">
        <v>600</v>
      </c>
      <c r="S937" s="1">
        <f t="shared" si="485"/>
        <v>2250600</v>
      </c>
      <c r="T937" s="1">
        <v>0</v>
      </c>
      <c r="U937" s="1">
        <v>50000</v>
      </c>
      <c r="V937" s="1">
        <v>0</v>
      </c>
      <c r="W937" s="1">
        <v>0</v>
      </c>
      <c r="X937" s="1">
        <v>0</v>
      </c>
      <c r="Y937" s="1">
        <v>0</v>
      </c>
      <c r="Z937" s="1">
        <v>0</v>
      </c>
      <c r="AA937" s="1">
        <v>0</v>
      </c>
      <c r="AB937" s="1">
        <v>0</v>
      </c>
      <c r="AC937" s="1">
        <v>0</v>
      </c>
      <c r="AD937" s="1">
        <v>0</v>
      </c>
    </row>
    <row r="938" spans="1:30" s="20" customFormat="1" ht="36" customHeight="1" x14ac:dyDescent="0.25">
      <c r="A938" s="2">
        <f t="shared" si="478"/>
        <v>910</v>
      </c>
      <c r="B938" s="6">
        <f>A938</f>
        <v>910</v>
      </c>
      <c r="C938" s="19" t="s">
        <v>532</v>
      </c>
      <c r="D938" s="4">
        <f t="shared" si="483"/>
        <v>1144307</v>
      </c>
      <c r="E938" s="1">
        <f>SUM(F938:K938)</f>
        <v>1094307</v>
      </c>
      <c r="F938" s="1">
        <v>0</v>
      </c>
      <c r="G938" s="1">
        <f>1693*429.14</f>
        <v>726534.02</v>
      </c>
      <c r="H938" s="1">
        <f>390*429.14</f>
        <v>167364.6</v>
      </c>
      <c r="I938" s="1">
        <v>0</v>
      </c>
      <c r="J938" s="1">
        <f>467*429.14</f>
        <v>200408.38</v>
      </c>
      <c r="K938" s="1">
        <v>0</v>
      </c>
      <c r="L938" s="2">
        <v>0</v>
      </c>
      <c r="M938" s="1">
        <f>L938*3500000</f>
        <v>0</v>
      </c>
      <c r="N938" s="1">
        <v>0</v>
      </c>
      <c r="O938" s="1">
        <v>0</v>
      </c>
      <c r="P938" s="1">
        <v>0</v>
      </c>
      <c r="Q938" s="1">
        <f>P938*1400</f>
        <v>0</v>
      </c>
      <c r="R938" s="1">
        <v>0</v>
      </c>
      <c r="S938" s="1">
        <f>R938*3751</f>
        <v>0</v>
      </c>
      <c r="T938" s="1">
        <v>0</v>
      </c>
      <c r="U938" s="1">
        <v>50000</v>
      </c>
      <c r="V938" s="1">
        <v>0</v>
      </c>
      <c r="W938" s="1">
        <v>0</v>
      </c>
      <c r="X938" s="1">
        <v>0</v>
      </c>
      <c r="Y938" s="1">
        <v>0</v>
      </c>
      <c r="Z938" s="1">
        <v>0</v>
      </c>
      <c r="AA938" s="1">
        <v>0</v>
      </c>
      <c r="AB938" s="1">
        <v>0</v>
      </c>
      <c r="AC938" s="1">
        <v>0</v>
      </c>
      <c r="AD938" s="1">
        <v>0</v>
      </c>
    </row>
    <row r="939" spans="1:30" s="20" customFormat="1" ht="36" customHeight="1" x14ac:dyDescent="0.25">
      <c r="A939" s="2">
        <f t="shared" si="478"/>
        <v>911</v>
      </c>
      <c r="B939" s="6">
        <f>A939</f>
        <v>911</v>
      </c>
      <c r="C939" s="19" t="s">
        <v>535</v>
      </c>
      <c r="D939" s="4">
        <f t="shared" si="483"/>
        <v>5050450</v>
      </c>
      <c r="E939" s="1">
        <f>SUM(F939:K939)</f>
        <v>2924910.0000000005</v>
      </c>
      <c r="F939" s="1">
        <f>804*745.2</f>
        <v>599140.80000000005</v>
      </c>
      <c r="G939" s="1">
        <f>1693*745.2</f>
        <v>1261623.6000000001</v>
      </c>
      <c r="H939" s="1">
        <f>390*745.2</f>
        <v>290628</v>
      </c>
      <c r="I939" s="1">
        <f>571*745.2</f>
        <v>425509.2</v>
      </c>
      <c r="J939" s="1">
        <f>467*745.2</f>
        <v>348008.4</v>
      </c>
      <c r="K939" s="1">
        <v>0</v>
      </c>
      <c r="L939" s="2">
        <v>0</v>
      </c>
      <c r="M939" s="1">
        <f>L939*3500000</f>
        <v>0</v>
      </c>
      <c r="N939" s="1">
        <v>0</v>
      </c>
      <c r="O939" s="1">
        <v>0</v>
      </c>
      <c r="P939" s="1">
        <v>0</v>
      </c>
      <c r="Q939" s="1">
        <f>P939*1400</f>
        <v>0</v>
      </c>
      <c r="R939" s="1">
        <v>540</v>
      </c>
      <c r="S939" s="1">
        <f>R939*3751</f>
        <v>2025540</v>
      </c>
      <c r="T939" s="1">
        <v>0</v>
      </c>
      <c r="U939" s="1">
        <v>50000</v>
      </c>
      <c r="V939" s="1">
        <v>0</v>
      </c>
      <c r="W939" s="1">
        <v>50000</v>
      </c>
      <c r="X939" s="1">
        <v>0</v>
      </c>
      <c r="Y939" s="1">
        <v>0</v>
      </c>
      <c r="Z939" s="1">
        <v>0</v>
      </c>
      <c r="AA939" s="1">
        <v>0</v>
      </c>
      <c r="AB939" s="1">
        <v>0</v>
      </c>
      <c r="AC939" s="1">
        <v>0</v>
      </c>
      <c r="AD939" s="1">
        <v>0</v>
      </c>
    </row>
    <row r="940" spans="1:30" s="20" customFormat="1" ht="36" customHeight="1" x14ac:dyDescent="0.25">
      <c r="A940" s="2">
        <f t="shared" si="478"/>
        <v>912</v>
      </c>
      <c r="B940" s="6">
        <f>A940</f>
        <v>912</v>
      </c>
      <c r="C940" s="19" t="s">
        <v>536</v>
      </c>
      <c r="D940" s="4">
        <f t="shared" si="483"/>
        <v>2125540</v>
      </c>
      <c r="E940" s="1">
        <f>SUM(F940:K940)</f>
        <v>0</v>
      </c>
      <c r="F940" s="1">
        <v>0</v>
      </c>
      <c r="G940" s="1">
        <v>0</v>
      </c>
      <c r="H940" s="1">
        <v>0</v>
      </c>
      <c r="I940" s="1">
        <v>0</v>
      </c>
      <c r="J940" s="1">
        <v>0</v>
      </c>
      <c r="K940" s="1">
        <v>0</v>
      </c>
      <c r="L940" s="2">
        <v>0</v>
      </c>
      <c r="M940" s="1">
        <f>L940*3500000</f>
        <v>0</v>
      </c>
      <c r="N940" s="1">
        <v>0</v>
      </c>
      <c r="O940" s="1">
        <v>0</v>
      </c>
      <c r="P940" s="1">
        <v>0</v>
      </c>
      <c r="Q940" s="1">
        <f>P940*1400</f>
        <v>0</v>
      </c>
      <c r="R940" s="1">
        <v>540</v>
      </c>
      <c r="S940" s="1">
        <f>R940*3751</f>
        <v>2025540</v>
      </c>
      <c r="T940" s="1">
        <v>0</v>
      </c>
      <c r="U940" s="1">
        <v>50000</v>
      </c>
      <c r="V940" s="1">
        <v>0</v>
      </c>
      <c r="W940" s="1">
        <v>50000</v>
      </c>
      <c r="X940" s="1">
        <v>0</v>
      </c>
      <c r="Y940" s="1">
        <v>0</v>
      </c>
      <c r="Z940" s="1">
        <v>0</v>
      </c>
      <c r="AA940" s="1">
        <v>0</v>
      </c>
      <c r="AB940" s="1">
        <v>0</v>
      </c>
      <c r="AC940" s="1">
        <v>0</v>
      </c>
      <c r="AD940" s="1">
        <v>0</v>
      </c>
    </row>
    <row r="941" spans="1:30" s="20" customFormat="1" ht="36" customHeight="1" x14ac:dyDescent="0.25">
      <c r="A941" s="2">
        <f t="shared" si="478"/>
        <v>913</v>
      </c>
      <c r="B941" s="6">
        <f>A941</f>
        <v>913</v>
      </c>
      <c r="C941" s="19" t="s">
        <v>537</v>
      </c>
      <c r="D941" s="4">
        <f t="shared" si="483"/>
        <v>2000520</v>
      </c>
      <c r="E941" s="1">
        <f>SUM(F941:K941)</f>
        <v>0</v>
      </c>
      <c r="F941" s="1">
        <v>0</v>
      </c>
      <c r="G941" s="1">
        <v>0</v>
      </c>
      <c r="H941" s="1">
        <v>0</v>
      </c>
      <c r="I941" s="1">
        <v>0</v>
      </c>
      <c r="J941" s="1">
        <v>0</v>
      </c>
      <c r="K941" s="1">
        <v>0</v>
      </c>
      <c r="L941" s="2">
        <v>0</v>
      </c>
      <c r="M941" s="1">
        <f>L941*3500000</f>
        <v>0</v>
      </c>
      <c r="N941" s="1">
        <v>0</v>
      </c>
      <c r="O941" s="1">
        <v>0</v>
      </c>
      <c r="P941" s="1">
        <v>0</v>
      </c>
      <c r="Q941" s="1">
        <f>P941*1400</f>
        <v>0</v>
      </c>
      <c r="R941" s="1">
        <v>520</v>
      </c>
      <c r="S941" s="1">
        <f>R941*3751</f>
        <v>1950520</v>
      </c>
      <c r="T941" s="1">
        <v>0</v>
      </c>
      <c r="U941" s="1">
        <v>0</v>
      </c>
      <c r="V941" s="1">
        <v>0</v>
      </c>
      <c r="W941" s="1">
        <v>50000</v>
      </c>
      <c r="X941" s="1">
        <v>0</v>
      </c>
      <c r="Y941" s="1">
        <v>0</v>
      </c>
      <c r="Z941" s="1">
        <v>0</v>
      </c>
      <c r="AA941" s="1">
        <v>0</v>
      </c>
      <c r="AB941" s="1">
        <v>0</v>
      </c>
      <c r="AC941" s="1">
        <v>0</v>
      </c>
      <c r="AD941" s="1">
        <v>0</v>
      </c>
    </row>
    <row r="942" spans="1:30" s="20" customFormat="1" ht="36" customHeight="1" x14ac:dyDescent="0.25">
      <c r="A942" s="2">
        <f t="shared" si="478"/>
        <v>914</v>
      </c>
      <c r="B942" s="6">
        <f t="shared" si="477"/>
        <v>914</v>
      </c>
      <c r="C942" s="19" t="s">
        <v>527</v>
      </c>
      <c r="D942" s="4">
        <f t="shared" si="483"/>
        <v>3363858</v>
      </c>
      <c r="E942" s="1">
        <f t="shared" si="486"/>
        <v>2065413.5000000002</v>
      </c>
      <c r="F942" s="1">
        <f>804*526.22</f>
        <v>423080.88</v>
      </c>
      <c r="G942" s="1">
        <f>1693*526.22</f>
        <v>890890.46000000008</v>
      </c>
      <c r="H942" s="1">
        <f>390*526.22</f>
        <v>205225.80000000002</v>
      </c>
      <c r="I942" s="1">
        <f>571*526.22</f>
        <v>300471.62</v>
      </c>
      <c r="J942" s="1">
        <f>467*526.22</f>
        <v>245744.74000000002</v>
      </c>
      <c r="K942" s="1">
        <v>0</v>
      </c>
      <c r="L942" s="2">
        <v>0</v>
      </c>
      <c r="M942" s="1">
        <f t="shared" si="469"/>
        <v>0</v>
      </c>
      <c r="N942" s="1">
        <v>0</v>
      </c>
      <c r="O942" s="1">
        <v>0</v>
      </c>
      <c r="P942" s="1">
        <v>0</v>
      </c>
      <c r="Q942" s="1">
        <f t="shared" si="484"/>
        <v>0</v>
      </c>
      <c r="R942" s="1">
        <v>319.5</v>
      </c>
      <c r="S942" s="1">
        <f t="shared" si="485"/>
        <v>1198444.5</v>
      </c>
      <c r="T942" s="1">
        <v>0</v>
      </c>
      <c r="U942" s="1">
        <v>50000</v>
      </c>
      <c r="V942" s="1">
        <v>0</v>
      </c>
      <c r="W942" s="1">
        <v>50000</v>
      </c>
      <c r="X942" s="1">
        <v>0</v>
      </c>
      <c r="Y942" s="1">
        <v>0</v>
      </c>
      <c r="Z942" s="1">
        <v>0</v>
      </c>
      <c r="AA942" s="1">
        <v>0</v>
      </c>
      <c r="AB942" s="1">
        <v>0</v>
      </c>
      <c r="AC942" s="1">
        <v>0</v>
      </c>
      <c r="AD942" s="1">
        <v>0</v>
      </c>
    </row>
    <row r="943" spans="1:30" s="20" customFormat="1" ht="36" customHeight="1" x14ac:dyDescent="0.25">
      <c r="A943" s="2">
        <f t="shared" si="478"/>
        <v>915</v>
      </c>
      <c r="B943" s="6">
        <f t="shared" si="477"/>
        <v>915</v>
      </c>
      <c r="C943" s="19" t="s">
        <v>528</v>
      </c>
      <c r="D943" s="4">
        <f t="shared" si="483"/>
        <v>6735082.5</v>
      </c>
      <c r="E943" s="1">
        <f t="shared" si="486"/>
        <v>2853082.4999999995</v>
      </c>
      <c r="F943" s="1">
        <f>804*726.9</f>
        <v>584427.6</v>
      </c>
      <c r="G943" s="1">
        <f>1693*726.9</f>
        <v>1230641.7</v>
      </c>
      <c r="H943" s="1">
        <f>390*726.9</f>
        <v>283491</v>
      </c>
      <c r="I943" s="1">
        <f>571*726.9</f>
        <v>415059.89999999997</v>
      </c>
      <c r="J943" s="1">
        <f>467*726.9</f>
        <v>339462.3</v>
      </c>
      <c r="K943" s="1">
        <v>0</v>
      </c>
      <c r="L943" s="2">
        <v>0</v>
      </c>
      <c r="M943" s="1">
        <f t="shared" si="469"/>
        <v>0</v>
      </c>
      <c r="N943" s="1">
        <v>488</v>
      </c>
      <c r="O943" s="1">
        <f>N943*7750</f>
        <v>3782000</v>
      </c>
      <c r="P943" s="1">
        <v>0</v>
      </c>
      <c r="Q943" s="1">
        <f t="shared" si="484"/>
        <v>0</v>
      </c>
      <c r="R943" s="1">
        <v>0</v>
      </c>
      <c r="S943" s="1">
        <f t="shared" si="485"/>
        <v>0</v>
      </c>
      <c r="T943" s="1">
        <v>0</v>
      </c>
      <c r="U943" s="1">
        <v>50000</v>
      </c>
      <c r="V943" s="1">
        <v>0</v>
      </c>
      <c r="W943" s="1">
        <v>50000</v>
      </c>
      <c r="X943" s="1">
        <v>0</v>
      </c>
      <c r="Y943" s="1">
        <v>0</v>
      </c>
      <c r="Z943" s="1">
        <v>0</v>
      </c>
      <c r="AA943" s="1">
        <v>0</v>
      </c>
      <c r="AB943" s="1">
        <v>0</v>
      </c>
      <c r="AC943" s="1">
        <v>0</v>
      </c>
      <c r="AD943" s="1">
        <v>0</v>
      </c>
    </row>
    <row r="944" spans="1:30" s="20" customFormat="1" ht="36" customHeight="1" x14ac:dyDescent="0.25">
      <c r="A944" s="2">
        <f t="shared" si="478"/>
        <v>916</v>
      </c>
      <c r="B944" s="6">
        <f t="shared" si="477"/>
        <v>916</v>
      </c>
      <c r="C944" s="19" t="s">
        <v>529</v>
      </c>
      <c r="D944" s="4">
        <f t="shared" si="483"/>
        <v>4644448.75</v>
      </c>
      <c r="E944" s="1">
        <f t="shared" si="486"/>
        <v>2181318.75</v>
      </c>
      <c r="F944" s="1">
        <f>804*555.75</f>
        <v>446823</v>
      </c>
      <c r="G944" s="1">
        <f>1693*555.75</f>
        <v>940884.75</v>
      </c>
      <c r="H944" s="1">
        <f>390*555.75</f>
        <v>216742.5</v>
      </c>
      <c r="I944" s="1">
        <f>571*555.75</f>
        <v>317333.25</v>
      </c>
      <c r="J944" s="1">
        <f>467*555.75</f>
        <v>259535.25</v>
      </c>
      <c r="K944" s="1">
        <v>0</v>
      </c>
      <c r="L944" s="2">
        <v>0</v>
      </c>
      <c r="M944" s="1">
        <f t="shared" ref="M944:M1017" si="487">L944*3500000</f>
        <v>0</v>
      </c>
      <c r="N944" s="1">
        <v>0</v>
      </c>
      <c r="O944" s="1">
        <v>0</v>
      </c>
      <c r="P944" s="1">
        <v>0</v>
      </c>
      <c r="Q944" s="1">
        <f t="shared" si="484"/>
        <v>0</v>
      </c>
      <c r="R944" s="1">
        <v>630</v>
      </c>
      <c r="S944" s="1">
        <f t="shared" si="485"/>
        <v>2363130</v>
      </c>
      <c r="T944" s="1">
        <v>0</v>
      </c>
      <c r="U944" s="1">
        <v>50000</v>
      </c>
      <c r="V944" s="1">
        <v>0</v>
      </c>
      <c r="W944" s="1">
        <v>50000</v>
      </c>
      <c r="X944" s="1">
        <v>0</v>
      </c>
      <c r="Y944" s="1">
        <v>0</v>
      </c>
      <c r="Z944" s="1">
        <v>0</v>
      </c>
      <c r="AA944" s="1">
        <v>0</v>
      </c>
      <c r="AB944" s="1">
        <v>0</v>
      </c>
      <c r="AC944" s="1">
        <v>0</v>
      </c>
      <c r="AD944" s="1">
        <v>0</v>
      </c>
    </row>
    <row r="945" spans="1:30" s="20" customFormat="1" ht="36" customHeight="1" x14ac:dyDescent="0.25">
      <c r="A945" s="2">
        <f t="shared" si="478"/>
        <v>917</v>
      </c>
      <c r="B945" s="6">
        <f t="shared" si="477"/>
        <v>917</v>
      </c>
      <c r="C945" s="19" t="s">
        <v>530</v>
      </c>
      <c r="D945" s="4">
        <f t="shared" si="483"/>
        <v>7682118.75</v>
      </c>
      <c r="E945" s="1">
        <f t="shared" si="486"/>
        <v>7582118.75</v>
      </c>
      <c r="F945" s="1">
        <f>804*1931.75</f>
        <v>1553127</v>
      </c>
      <c r="G945" s="1">
        <f>1693*1931.75</f>
        <v>3270452.75</v>
      </c>
      <c r="H945" s="1">
        <f>390*1931.75</f>
        <v>753382.5</v>
      </c>
      <c r="I945" s="1">
        <f>571*1931.75</f>
        <v>1103029.25</v>
      </c>
      <c r="J945" s="1">
        <f>467*1931.75</f>
        <v>902127.25</v>
      </c>
      <c r="K945" s="1">
        <v>0</v>
      </c>
      <c r="L945" s="2">
        <v>0</v>
      </c>
      <c r="M945" s="1">
        <f t="shared" si="487"/>
        <v>0</v>
      </c>
      <c r="N945" s="1">
        <v>0</v>
      </c>
      <c r="O945" s="1">
        <v>0</v>
      </c>
      <c r="P945" s="1">
        <v>0</v>
      </c>
      <c r="Q945" s="1">
        <f t="shared" si="484"/>
        <v>0</v>
      </c>
      <c r="R945" s="1">
        <v>0</v>
      </c>
      <c r="S945" s="1">
        <f t="shared" si="485"/>
        <v>0</v>
      </c>
      <c r="T945" s="1">
        <v>0</v>
      </c>
      <c r="U945" s="1">
        <v>50000</v>
      </c>
      <c r="V945" s="1">
        <v>0</v>
      </c>
      <c r="W945" s="1">
        <v>50000</v>
      </c>
      <c r="X945" s="1">
        <v>0</v>
      </c>
      <c r="Y945" s="1">
        <v>0</v>
      </c>
      <c r="Z945" s="1">
        <v>0</v>
      </c>
      <c r="AA945" s="1">
        <v>0</v>
      </c>
      <c r="AB945" s="1">
        <v>0</v>
      </c>
      <c r="AC945" s="1">
        <v>0</v>
      </c>
      <c r="AD945" s="1">
        <v>0</v>
      </c>
    </row>
    <row r="946" spans="1:30" s="20" customFormat="1" ht="36" customHeight="1" x14ac:dyDescent="0.25">
      <c r="A946" s="2">
        <f t="shared" si="478"/>
        <v>918</v>
      </c>
      <c r="B946" s="6">
        <f t="shared" si="477"/>
        <v>918</v>
      </c>
      <c r="C946" s="19" t="s">
        <v>531</v>
      </c>
      <c r="D946" s="4">
        <f t="shared" si="483"/>
        <v>6288884.4199999999</v>
      </c>
      <c r="E946" s="1">
        <f t="shared" si="486"/>
        <v>3021464.9999999995</v>
      </c>
      <c r="F946" s="1">
        <f>804*769.8</f>
        <v>618919.19999999995</v>
      </c>
      <c r="G946" s="1">
        <f>1693*769.8</f>
        <v>1303271.3999999999</v>
      </c>
      <c r="H946" s="1">
        <f>390*769.8</f>
        <v>300222</v>
      </c>
      <c r="I946" s="1">
        <f>571*769.8</f>
        <v>439555.8</v>
      </c>
      <c r="J946" s="1">
        <f>467*769.8</f>
        <v>359496.6</v>
      </c>
      <c r="K946" s="1">
        <v>0</v>
      </c>
      <c r="L946" s="2">
        <v>0</v>
      </c>
      <c r="M946" s="1">
        <f t="shared" si="487"/>
        <v>0</v>
      </c>
      <c r="N946" s="1">
        <v>0</v>
      </c>
      <c r="O946" s="1">
        <v>0</v>
      </c>
      <c r="P946" s="1">
        <v>0</v>
      </c>
      <c r="Q946" s="1">
        <f t="shared" si="484"/>
        <v>0</v>
      </c>
      <c r="R946" s="1">
        <v>844.42</v>
      </c>
      <c r="S946" s="1">
        <f t="shared" si="485"/>
        <v>3167419.42</v>
      </c>
      <c r="T946" s="1">
        <v>0</v>
      </c>
      <c r="U946" s="1">
        <v>50000</v>
      </c>
      <c r="V946" s="1">
        <v>0</v>
      </c>
      <c r="W946" s="1">
        <v>50000</v>
      </c>
      <c r="X946" s="1">
        <v>0</v>
      </c>
      <c r="Y946" s="1">
        <v>0</v>
      </c>
      <c r="Z946" s="1">
        <v>0</v>
      </c>
      <c r="AA946" s="1">
        <v>0</v>
      </c>
      <c r="AB946" s="1">
        <v>0</v>
      </c>
      <c r="AC946" s="1">
        <v>0</v>
      </c>
      <c r="AD946" s="1">
        <v>0</v>
      </c>
    </row>
    <row r="947" spans="1:30" s="20" customFormat="1" ht="36" customHeight="1" x14ac:dyDescent="0.25">
      <c r="A947" s="2">
        <f t="shared" si="478"/>
        <v>919</v>
      </c>
      <c r="B947" s="2">
        <f t="shared" si="477"/>
        <v>919</v>
      </c>
      <c r="C947" s="19" t="s">
        <v>533</v>
      </c>
      <c r="D947" s="39">
        <f t="shared" si="483"/>
        <v>2000520</v>
      </c>
      <c r="E947" s="1">
        <f t="shared" si="486"/>
        <v>0</v>
      </c>
      <c r="F947" s="1">
        <v>0</v>
      </c>
      <c r="G947" s="1">
        <v>0</v>
      </c>
      <c r="H947" s="1">
        <v>0</v>
      </c>
      <c r="I947" s="1">
        <v>0</v>
      </c>
      <c r="J947" s="1">
        <v>0</v>
      </c>
      <c r="K947" s="1">
        <v>0</v>
      </c>
      <c r="L947" s="2">
        <v>0</v>
      </c>
      <c r="M947" s="1">
        <f t="shared" si="487"/>
        <v>0</v>
      </c>
      <c r="N947" s="1">
        <v>0</v>
      </c>
      <c r="O947" s="1">
        <v>0</v>
      </c>
      <c r="P947" s="1">
        <v>0</v>
      </c>
      <c r="Q947" s="1">
        <f t="shared" si="484"/>
        <v>0</v>
      </c>
      <c r="R947" s="1">
        <v>520</v>
      </c>
      <c r="S947" s="1">
        <f t="shared" si="485"/>
        <v>1950520</v>
      </c>
      <c r="T947" s="1">
        <v>0</v>
      </c>
      <c r="U947" s="1">
        <v>0</v>
      </c>
      <c r="V947" s="1">
        <v>0</v>
      </c>
      <c r="W947" s="1">
        <v>50000</v>
      </c>
      <c r="X947" s="1">
        <v>0</v>
      </c>
      <c r="Y947" s="1">
        <v>0</v>
      </c>
      <c r="Z947" s="1">
        <v>0</v>
      </c>
      <c r="AA947" s="1">
        <v>0</v>
      </c>
      <c r="AB947" s="1">
        <v>0</v>
      </c>
      <c r="AC947" s="1">
        <v>0</v>
      </c>
      <c r="AD947" s="1">
        <v>0</v>
      </c>
    </row>
    <row r="948" spans="1:30" s="20" customFormat="1" ht="36" customHeight="1" x14ac:dyDescent="0.25">
      <c r="A948" s="2">
        <f t="shared" si="478"/>
        <v>920</v>
      </c>
      <c r="B948" s="2">
        <f t="shared" si="477"/>
        <v>920</v>
      </c>
      <c r="C948" s="19" t="s">
        <v>534</v>
      </c>
      <c r="D948" s="39">
        <f t="shared" si="483"/>
        <v>4136657.5</v>
      </c>
      <c r="E948" s="1">
        <f t="shared" si="486"/>
        <v>2086137.5</v>
      </c>
      <c r="F948" s="1">
        <f>804*531.5</f>
        <v>427326</v>
      </c>
      <c r="G948" s="1">
        <f>1693*531.5</f>
        <v>899829.5</v>
      </c>
      <c r="H948" s="1">
        <f>390*531.5</f>
        <v>207285</v>
      </c>
      <c r="I948" s="1">
        <f>571*531.5</f>
        <v>303486.5</v>
      </c>
      <c r="J948" s="1">
        <f>467*531.5</f>
        <v>248210.5</v>
      </c>
      <c r="K948" s="1">
        <v>0</v>
      </c>
      <c r="L948" s="2">
        <v>0</v>
      </c>
      <c r="M948" s="1">
        <f t="shared" si="487"/>
        <v>0</v>
      </c>
      <c r="N948" s="1">
        <v>0</v>
      </c>
      <c r="O948" s="1">
        <v>0</v>
      </c>
      <c r="P948" s="1">
        <v>0</v>
      </c>
      <c r="Q948" s="1">
        <f t="shared" si="484"/>
        <v>0</v>
      </c>
      <c r="R948" s="1">
        <v>520</v>
      </c>
      <c r="S948" s="1">
        <f t="shared" si="485"/>
        <v>1950520</v>
      </c>
      <c r="T948" s="1">
        <v>0</v>
      </c>
      <c r="U948" s="1">
        <v>50000</v>
      </c>
      <c r="V948" s="1">
        <v>0</v>
      </c>
      <c r="W948" s="1">
        <v>50000</v>
      </c>
      <c r="X948" s="1">
        <v>0</v>
      </c>
      <c r="Y948" s="1">
        <v>0</v>
      </c>
      <c r="Z948" s="1">
        <v>0</v>
      </c>
      <c r="AA948" s="1">
        <v>0</v>
      </c>
      <c r="AB948" s="1">
        <v>0</v>
      </c>
      <c r="AC948" s="1">
        <v>0</v>
      </c>
      <c r="AD948" s="1">
        <v>0</v>
      </c>
    </row>
    <row r="949" spans="1:30" s="20" customFormat="1" ht="36" customHeight="1" x14ac:dyDescent="0.25">
      <c r="A949" s="2">
        <f t="shared" si="478"/>
        <v>921</v>
      </c>
      <c r="B949" s="6">
        <f>A949</f>
        <v>921</v>
      </c>
      <c r="C949" s="19" t="s">
        <v>1750</v>
      </c>
      <c r="D949" s="4">
        <f t="shared" si="483"/>
        <v>10700000</v>
      </c>
      <c r="E949" s="1">
        <f t="shared" si="486"/>
        <v>0</v>
      </c>
      <c r="F949" s="1">
        <v>0</v>
      </c>
      <c r="G949" s="1">
        <v>0</v>
      </c>
      <c r="H949" s="1">
        <v>0</v>
      </c>
      <c r="I949" s="1">
        <v>0</v>
      </c>
      <c r="J949" s="1">
        <v>0</v>
      </c>
      <c r="K949" s="1">
        <v>0</v>
      </c>
      <c r="L949" s="2">
        <v>3</v>
      </c>
      <c r="M949" s="1">
        <f t="shared" si="487"/>
        <v>10500000</v>
      </c>
      <c r="N949" s="1">
        <v>0</v>
      </c>
      <c r="O949" s="1">
        <v>0</v>
      </c>
      <c r="P949" s="1">
        <v>0</v>
      </c>
      <c r="Q949" s="1">
        <f t="shared" si="484"/>
        <v>0</v>
      </c>
      <c r="R949" s="1">
        <v>0</v>
      </c>
      <c r="S949" s="1">
        <f t="shared" si="485"/>
        <v>0</v>
      </c>
      <c r="T949" s="1">
        <v>0</v>
      </c>
      <c r="U949" s="1">
        <v>200000</v>
      </c>
      <c r="V949" s="1">
        <v>0</v>
      </c>
      <c r="W949" s="1">
        <v>0</v>
      </c>
      <c r="X949" s="1">
        <v>0</v>
      </c>
      <c r="Y949" s="1">
        <v>0</v>
      </c>
      <c r="Z949" s="1">
        <v>0</v>
      </c>
      <c r="AA949" s="1">
        <v>0</v>
      </c>
      <c r="AB949" s="1">
        <v>0</v>
      </c>
      <c r="AC949" s="1">
        <v>0</v>
      </c>
      <c r="AD949" s="1">
        <v>0</v>
      </c>
    </row>
    <row r="950" spans="1:30" s="20" customFormat="1" ht="36" customHeight="1" x14ac:dyDescent="0.25">
      <c r="A950" s="2">
        <f t="shared" si="478"/>
        <v>922</v>
      </c>
      <c r="B950" s="6">
        <f t="shared" si="477"/>
        <v>922</v>
      </c>
      <c r="C950" s="19" t="s">
        <v>538</v>
      </c>
      <c r="D950" s="4">
        <f t="shared" si="483"/>
        <v>2364725</v>
      </c>
      <c r="E950" s="1">
        <f t="shared" si="486"/>
        <v>2264725</v>
      </c>
      <c r="F950" s="1">
        <f>804*577</f>
        <v>463908</v>
      </c>
      <c r="G950" s="1">
        <f>1693*577</f>
        <v>976861</v>
      </c>
      <c r="H950" s="1">
        <f>390*577</f>
        <v>225030</v>
      </c>
      <c r="I950" s="1">
        <f>571*577</f>
        <v>329467</v>
      </c>
      <c r="J950" s="1">
        <f>467*577</f>
        <v>269459</v>
      </c>
      <c r="K950" s="1">
        <v>0</v>
      </c>
      <c r="L950" s="2">
        <v>0</v>
      </c>
      <c r="M950" s="1">
        <f t="shared" si="487"/>
        <v>0</v>
      </c>
      <c r="N950" s="1">
        <v>0</v>
      </c>
      <c r="O950" s="1">
        <v>0</v>
      </c>
      <c r="P950" s="1">
        <v>0</v>
      </c>
      <c r="Q950" s="1">
        <f t="shared" si="484"/>
        <v>0</v>
      </c>
      <c r="R950" s="1">
        <v>0</v>
      </c>
      <c r="S950" s="1">
        <f t="shared" si="485"/>
        <v>0</v>
      </c>
      <c r="T950" s="1">
        <v>0</v>
      </c>
      <c r="U950" s="1">
        <v>50000</v>
      </c>
      <c r="V950" s="1">
        <v>0</v>
      </c>
      <c r="W950" s="1">
        <v>50000</v>
      </c>
      <c r="X950" s="1">
        <v>0</v>
      </c>
      <c r="Y950" s="1">
        <v>0</v>
      </c>
      <c r="Z950" s="1">
        <v>0</v>
      </c>
      <c r="AA950" s="1">
        <v>0</v>
      </c>
      <c r="AB950" s="1">
        <v>0</v>
      </c>
      <c r="AC950" s="1">
        <v>0</v>
      </c>
      <c r="AD950" s="1">
        <v>0</v>
      </c>
    </row>
    <row r="951" spans="1:30" s="20" customFormat="1" ht="36" customHeight="1" x14ac:dyDescent="0.25">
      <c r="A951" s="2">
        <f t="shared" si="478"/>
        <v>923</v>
      </c>
      <c r="B951" s="6">
        <f t="shared" si="477"/>
        <v>923</v>
      </c>
      <c r="C951" s="19" t="s">
        <v>539</v>
      </c>
      <c r="D951" s="4">
        <f t="shared" si="483"/>
        <v>9023025</v>
      </c>
      <c r="E951" s="1">
        <f t="shared" si="486"/>
        <v>6564954.9999999991</v>
      </c>
      <c r="F951" s="1">
        <f>804*1672.6</f>
        <v>1344770.4</v>
      </c>
      <c r="G951" s="1">
        <f>1693*1672.6</f>
        <v>2831711.8</v>
      </c>
      <c r="H951" s="1">
        <f>390*1672.6</f>
        <v>652314</v>
      </c>
      <c r="I951" s="1">
        <f>571*1672.6</f>
        <v>955054.6</v>
      </c>
      <c r="J951" s="1">
        <f>467*1672.6</f>
        <v>781104.2</v>
      </c>
      <c r="K951" s="1">
        <v>0</v>
      </c>
      <c r="L951" s="2">
        <v>0</v>
      </c>
      <c r="M951" s="1">
        <f t="shared" si="487"/>
        <v>0</v>
      </c>
      <c r="N951" s="1">
        <v>0</v>
      </c>
      <c r="O951" s="1">
        <f>N951*7750</f>
        <v>0</v>
      </c>
      <c r="P951" s="1">
        <v>50</v>
      </c>
      <c r="Q951" s="1">
        <f t="shared" si="484"/>
        <v>70000</v>
      </c>
      <c r="R951" s="1">
        <v>570</v>
      </c>
      <c r="S951" s="1">
        <f t="shared" si="485"/>
        <v>2138070</v>
      </c>
      <c r="T951" s="1">
        <v>150000</v>
      </c>
      <c r="U951" s="1">
        <v>50000</v>
      </c>
      <c r="V951" s="1">
        <v>0</v>
      </c>
      <c r="W951" s="1">
        <v>50000</v>
      </c>
      <c r="X951" s="1">
        <v>0</v>
      </c>
      <c r="Y951" s="1">
        <v>0</v>
      </c>
      <c r="Z951" s="1">
        <v>0</v>
      </c>
      <c r="AA951" s="1">
        <v>0</v>
      </c>
      <c r="AB951" s="1">
        <v>0</v>
      </c>
      <c r="AC951" s="1">
        <v>0</v>
      </c>
      <c r="AD951" s="1">
        <v>0</v>
      </c>
    </row>
    <row r="952" spans="1:30" s="20" customFormat="1" ht="36" customHeight="1" x14ac:dyDescent="0.25">
      <c r="A952" s="2">
        <f t="shared" si="478"/>
        <v>924</v>
      </c>
      <c r="B952" s="6">
        <f t="shared" si="477"/>
        <v>924</v>
      </c>
      <c r="C952" s="19" t="s">
        <v>1520</v>
      </c>
      <c r="D952" s="4">
        <f t="shared" si="483"/>
        <v>7200000</v>
      </c>
      <c r="E952" s="1">
        <f>SUM(F952:K952)</f>
        <v>0</v>
      </c>
      <c r="F952" s="1">
        <v>0</v>
      </c>
      <c r="G952" s="1">
        <v>0</v>
      </c>
      <c r="H952" s="1">
        <v>0</v>
      </c>
      <c r="I952" s="1">
        <v>0</v>
      </c>
      <c r="J952" s="1">
        <v>0</v>
      </c>
      <c r="K952" s="1">
        <v>0</v>
      </c>
      <c r="L952" s="2">
        <v>2</v>
      </c>
      <c r="M952" s="1">
        <f t="shared" si="487"/>
        <v>7000000</v>
      </c>
      <c r="N952" s="1">
        <v>0</v>
      </c>
      <c r="O952" s="1">
        <v>0</v>
      </c>
      <c r="P952" s="1">
        <v>0</v>
      </c>
      <c r="Q952" s="1">
        <f>P952*1400</f>
        <v>0</v>
      </c>
      <c r="R952" s="1">
        <v>0</v>
      </c>
      <c r="S952" s="1">
        <f>R952*3751</f>
        <v>0</v>
      </c>
      <c r="T952" s="1">
        <v>0</v>
      </c>
      <c r="U952" s="1">
        <v>200000</v>
      </c>
      <c r="V952" s="1">
        <v>0</v>
      </c>
      <c r="W952" s="1">
        <v>0</v>
      </c>
      <c r="X952" s="1">
        <v>0</v>
      </c>
      <c r="Y952" s="1">
        <v>0</v>
      </c>
      <c r="Z952" s="1">
        <v>0</v>
      </c>
      <c r="AA952" s="1">
        <v>0</v>
      </c>
      <c r="AB952" s="1">
        <v>0</v>
      </c>
      <c r="AC952" s="1">
        <v>0</v>
      </c>
      <c r="AD952" s="1">
        <v>0</v>
      </c>
    </row>
    <row r="953" spans="1:30" s="20" customFormat="1" ht="36" customHeight="1" x14ac:dyDescent="0.25">
      <c r="A953" s="2">
        <f t="shared" si="478"/>
        <v>925</v>
      </c>
      <c r="B953" s="6">
        <f>A953</f>
        <v>925</v>
      </c>
      <c r="C953" s="19" t="s">
        <v>544</v>
      </c>
      <c r="D953" s="4">
        <f t="shared" si="483"/>
        <v>3377940.5</v>
      </c>
      <c r="E953" s="1">
        <f>SUM(F953:K953)</f>
        <v>1965090.4999999998</v>
      </c>
      <c r="F953" s="1">
        <f>804*500.66</f>
        <v>402530.64</v>
      </c>
      <c r="G953" s="1">
        <f>1693*500.66</f>
        <v>847617.38</v>
      </c>
      <c r="H953" s="1">
        <f>390*500.66</f>
        <v>195257.40000000002</v>
      </c>
      <c r="I953" s="1">
        <f>571*500.66</f>
        <v>285876.86</v>
      </c>
      <c r="J953" s="1">
        <f>467*500.66</f>
        <v>233808.22</v>
      </c>
      <c r="K953" s="1">
        <v>0</v>
      </c>
      <c r="L953" s="2">
        <v>0</v>
      </c>
      <c r="M953" s="1">
        <f>L953*3500000</f>
        <v>0</v>
      </c>
      <c r="N953" s="1">
        <v>0</v>
      </c>
      <c r="O953" s="1">
        <v>0</v>
      </c>
      <c r="P953" s="1">
        <v>0</v>
      </c>
      <c r="Q953" s="1">
        <f>P953*1400</f>
        <v>0</v>
      </c>
      <c r="R953" s="1">
        <v>350</v>
      </c>
      <c r="S953" s="1">
        <f>R953*3751</f>
        <v>1312850</v>
      </c>
      <c r="T953" s="1">
        <v>0</v>
      </c>
      <c r="U953" s="1">
        <v>50000</v>
      </c>
      <c r="V953" s="1">
        <v>0</v>
      </c>
      <c r="W953" s="1">
        <v>50000</v>
      </c>
      <c r="X953" s="1">
        <v>0</v>
      </c>
      <c r="Y953" s="1">
        <v>0</v>
      </c>
      <c r="Z953" s="1">
        <v>0</v>
      </c>
      <c r="AA953" s="1">
        <v>0</v>
      </c>
      <c r="AB953" s="1">
        <v>0</v>
      </c>
      <c r="AC953" s="1">
        <v>0</v>
      </c>
      <c r="AD953" s="1">
        <v>0</v>
      </c>
    </row>
    <row r="954" spans="1:30" s="20" customFormat="1" ht="36" customHeight="1" x14ac:dyDescent="0.25">
      <c r="A954" s="2">
        <f t="shared" si="478"/>
        <v>926</v>
      </c>
      <c r="B954" s="6">
        <f>A954</f>
        <v>926</v>
      </c>
      <c r="C954" s="19" t="s">
        <v>546</v>
      </c>
      <c r="D954" s="4">
        <f t="shared" si="483"/>
        <v>3379903</v>
      </c>
      <c r="E954" s="1">
        <f>SUM(F954:K954)</f>
        <v>1967052.9999999998</v>
      </c>
      <c r="F954" s="1">
        <f>804*501.16</f>
        <v>402932.64</v>
      </c>
      <c r="G954" s="1">
        <f>1693*501.16</f>
        <v>848463.88</v>
      </c>
      <c r="H954" s="1">
        <f>390*501.16</f>
        <v>195452.40000000002</v>
      </c>
      <c r="I954" s="1">
        <f>571*501.16</f>
        <v>286162.36</v>
      </c>
      <c r="J954" s="1">
        <f>467*501.16</f>
        <v>234041.72</v>
      </c>
      <c r="K954" s="1">
        <v>0</v>
      </c>
      <c r="L954" s="2">
        <v>0</v>
      </c>
      <c r="M954" s="1">
        <f>L954*3500000</f>
        <v>0</v>
      </c>
      <c r="N954" s="1">
        <v>0</v>
      </c>
      <c r="O954" s="1">
        <v>0</v>
      </c>
      <c r="P954" s="1">
        <v>0</v>
      </c>
      <c r="Q954" s="1">
        <f>P954*1400</f>
        <v>0</v>
      </c>
      <c r="R954" s="1">
        <v>350</v>
      </c>
      <c r="S954" s="1">
        <f>R954*3751</f>
        <v>1312850</v>
      </c>
      <c r="T954" s="1">
        <v>0</v>
      </c>
      <c r="U954" s="1">
        <v>50000</v>
      </c>
      <c r="V954" s="1">
        <v>0</v>
      </c>
      <c r="W954" s="1">
        <v>50000</v>
      </c>
      <c r="X954" s="1">
        <v>0</v>
      </c>
      <c r="Y954" s="1">
        <v>0</v>
      </c>
      <c r="Z954" s="1">
        <v>0</v>
      </c>
      <c r="AA954" s="1">
        <v>0</v>
      </c>
      <c r="AB954" s="1">
        <v>0</v>
      </c>
      <c r="AC954" s="1">
        <v>0</v>
      </c>
      <c r="AD954" s="1">
        <v>0</v>
      </c>
    </row>
    <row r="955" spans="1:30" s="20" customFormat="1" ht="36" customHeight="1" x14ac:dyDescent="0.25">
      <c r="A955" s="2">
        <f t="shared" si="478"/>
        <v>927</v>
      </c>
      <c r="B955" s="6">
        <f t="shared" si="477"/>
        <v>927</v>
      </c>
      <c r="C955" s="19" t="s">
        <v>540</v>
      </c>
      <c r="D955" s="4">
        <f t="shared" si="483"/>
        <v>2483760</v>
      </c>
      <c r="E955" s="1">
        <f t="shared" si="486"/>
        <v>1108420</v>
      </c>
      <c r="F955" s="1">
        <f>804*282.4</f>
        <v>227049.59999999998</v>
      </c>
      <c r="G955" s="1">
        <f>1693*282.4</f>
        <v>478103.19999999995</v>
      </c>
      <c r="H955" s="1">
        <f>390*282.4</f>
        <v>110135.99999999999</v>
      </c>
      <c r="I955" s="1">
        <f>571*282.4</f>
        <v>161250.4</v>
      </c>
      <c r="J955" s="1">
        <f>467*282.4</f>
        <v>131880.79999999999</v>
      </c>
      <c r="K955" s="1">
        <v>0</v>
      </c>
      <c r="L955" s="2">
        <v>0</v>
      </c>
      <c r="M955" s="1">
        <f t="shared" si="487"/>
        <v>0</v>
      </c>
      <c r="N955" s="1">
        <v>0</v>
      </c>
      <c r="O955" s="1">
        <v>0</v>
      </c>
      <c r="P955" s="1">
        <v>0</v>
      </c>
      <c r="Q955" s="1">
        <f t="shared" si="484"/>
        <v>0</v>
      </c>
      <c r="R955" s="1">
        <v>340</v>
      </c>
      <c r="S955" s="1">
        <f t="shared" si="485"/>
        <v>1275340</v>
      </c>
      <c r="T955" s="1">
        <v>0</v>
      </c>
      <c r="U955" s="1">
        <v>50000</v>
      </c>
      <c r="V955" s="1">
        <v>0</v>
      </c>
      <c r="W955" s="1">
        <v>50000</v>
      </c>
      <c r="X955" s="1">
        <v>0</v>
      </c>
      <c r="Y955" s="1">
        <v>0</v>
      </c>
      <c r="Z955" s="1">
        <v>0</v>
      </c>
      <c r="AA955" s="1">
        <v>0</v>
      </c>
      <c r="AB955" s="1">
        <v>0</v>
      </c>
      <c r="AC955" s="1">
        <v>0</v>
      </c>
      <c r="AD955" s="1">
        <v>0</v>
      </c>
    </row>
    <row r="956" spans="1:30" s="20" customFormat="1" ht="36" customHeight="1" x14ac:dyDescent="0.25">
      <c r="A956" s="2">
        <f t="shared" si="478"/>
        <v>928</v>
      </c>
      <c r="B956" s="6">
        <f t="shared" si="477"/>
        <v>928</v>
      </c>
      <c r="C956" s="19" t="s">
        <v>541</v>
      </c>
      <c r="D956" s="4">
        <f t="shared" si="483"/>
        <v>3408320</v>
      </c>
      <c r="E956" s="1">
        <f t="shared" si="486"/>
        <v>1995469.9999999998</v>
      </c>
      <c r="F956" s="1">
        <f>804*508.4</f>
        <v>408753.6</v>
      </c>
      <c r="G956" s="1">
        <f>1693*508.4</f>
        <v>860721.2</v>
      </c>
      <c r="H956" s="1">
        <f>390*508.4</f>
        <v>198276</v>
      </c>
      <c r="I956" s="1">
        <f>571*508.4</f>
        <v>290296.39999999997</v>
      </c>
      <c r="J956" s="1">
        <f>467*508.4</f>
        <v>237422.8</v>
      </c>
      <c r="K956" s="1">
        <v>0</v>
      </c>
      <c r="L956" s="2">
        <v>0</v>
      </c>
      <c r="M956" s="1">
        <f t="shared" si="487"/>
        <v>0</v>
      </c>
      <c r="N956" s="1">
        <v>0</v>
      </c>
      <c r="O956" s="1">
        <v>0</v>
      </c>
      <c r="P956" s="1">
        <v>0</v>
      </c>
      <c r="Q956" s="1">
        <f t="shared" si="484"/>
        <v>0</v>
      </c>
      <c r="R956" s="1">
        <v>350</v>
      </c>
      <c r="S956" s="1">
        <f t="shared" si="485"/>
        <v>1312850</v>
      </c>
      <c r="T956" s="1">
        <v>0</v>
      </c>
      <c r="U956" s="1">
        <v>50000</v>
      </c>
      <c r="V956" s="1">
        <v>0</v>
      </c>
      <c r="W956" s="1">
        <v>50000</v>
      </c>
      <c r="X956" s="1">
        <v>0</v>
      </c>
      <c r="Y956" s="1">
        <v>0</v>
      </c>
      <c r="Z956" s="1">
        <v>0</v>
      </c>
      <c r="AA956" s="1">
        <v>0</v>
      </c>
      <c r="AB956" s="1">
        <v>0</v>
      </c>
      <c r="AC956" s="1">
        <v>0</v>
      </c>
      <c r="AD956" s="1">
        <v>0</v>
      </c>
    </row>
    <row r="957" spans="1:30" s="20" customFormat="1" ht="36" customHeight="1" x14ac:dyDescent="0.25">
      <c r="A957" s="2">
        <f t="shared" si="478"/>
        <v>929</v>
      </c>
      <c r="B957" s="6">
        <f t="shared" si="477"/>
        <v>929</v>
      </c>
      <c r="C957" s="19" t="s">
        <v>542</v>
      </c>
      <c r="D957" s="4">
        <f t="shared" si="483"/>
        <v>3417072.5</v>
      </c>
      <c r="E957" s="1">
        <f t="shared" si="486"/>
        <v>2116752.5</v>
      </c>
      <c r="F957" s="1">
        <f>804*539.3</f>
        <v>433597.19999999995</v>
      </c>
      <c r="G957" s="1">
        <f>1693*539.3</f>
        <v>913034.89999999991</v>
      </c>
      <c r="H957" s="1">
        <f>390*539.3</f>
        <v>210326.99999999997</v>
      </c>
      <c r="I957" s="1">
        <f>571*539.3</f>
        <v>307940.3</v>
      </c>
      <c r="J957" s="1">
        <f>467*539.3</f>
        <v>251853.09999999998</v>
      </c>
      <c r="K957" s="1">
        <v>0</v>
      </c>
      <c r="L957" s="2">
        <v>0</v>
      </c>
      <c r="M957" s="1">
        <f t="shared" si="487"/>
        <v>0</v>
      </c>
      <c r="N957" s="1">
        <v>0</v>
      </c>
      <c r="O957" s="1">
        <v>0</v>
      </c>
      <c r="P957" s="1">
        <v>0</v>
      </c>
      <c r="Q957" s="1">
        <f t="shared" si="484"/>
        <v>0</v>
      </c>
      <c r="R957" s="1">
        <v>320</v>
      </c>
      <c r="S957" s="1">
        <f t="shared" si="485"/>
        <v>1200320</v>
      </c>
      <c r="T957" s="1">
        <v>0</v>
      </c>
      <c r="U957" s="1">
        <v>50000</v>
      </c>
      <c r="V957" s="1">
        <v>0</v>
      </c>
      <c r="W957" s="1">
        <v>50000</v>
      </c>
      <c r="X957" s="1">
        <v>0</v>
      </c>
      <c r="Y957" s="1">
        <v>0</v>
      </c>
      <c r="Z957" s="1">
        <v>0</v>
      </c>
      <c r="AA957" s="1">
        <v>0</v>
      </c>
      <c r="AB957" s="1">
        <v>0</v>
      </c>
      <c r="AC957" s="1">
        <v>0</v>
      </c>
      <c r="AD957" s="1">
        <v>0</v>
      </c>
    </row>
    <row r="958" spans="1:30" s="20" customFormat="1" ht="36" customHeight="1" x14ac:dyDescent="0.25">
      <c r="A958" s="2">
        <f t="shared" si="478"/>
        <v>930</v>
      </c>
      <c r="B958" s="6">
        <f t="shared" si="477"/>
        <v>930</v>
      </c>
      <c r="C958" s="19" t="s">
        <v>543</v>
      </c>
      <c r="D958" s="4">
        <f t="shared" si="483"/>
        <v>3347600.25</v>
      </c>
      <c r="E958" s="1">
        <f t="shared" si="486"/>
        <v>1934750.25</v>
      </c>
      <c r="F958" s="1">
        <f>804*492.93</f>
        <v>396315.72000000003</v>
      </c>
      <c r="G958" s="1">
        <f>1693*492.93</f>
        <v>834530.49</v>
      </c>
      <c r="H958" s="1">
        <f>390*492.93</f>
        <v>192242.7</v>
      </c>
      <c r="I958" s="1">
        <f>571*492.93</f>
        <v>281463.03000000003</v>
      </c>
      <c r="J958" s="1">
        <f>467*492.93</f>
        <v>230198.31</v>
      </c>
      <c r="K958" s="1">
        <v>0</v>
      </c>
      <c r="L958" s="2">
        <v>0</v>
      </c>
      <c r="M958" s="1">
        <f t="shared" si="487"/>
        <v>0</v>
      </c>
      <c r="N958" s="1">
        <v>0</v>
      </c>
      <c r="O958" s="1">
        <v>0</v>
      </c>
      <c r="P958" s="1">
        <v>0</v>
      </c>
      <c r="Q958" s="1">
        <f t="shared" si="484"/>
        <v>0</v>
      </c>
      <c r="R958" s="1">
        <v>350</v>
      </c>
      <c r="S958" s="1">
        <f t="shared" si="485"/>
        <v>1312850</v>
      </c>
      <c r="T958" s="1">
        <v>0</v>
      </c>
      <c r="U958" s="1">
        <v>50000</v>
      </c>
      <c r="V958" s="1">
        <v>0</v>
      </c>
      <c r="W958" s="1">
        <v>50000</v>
      </c>
      <c r="X958" s="1">
        <v>0</v>
      </c>
      <c r="Y958" s="1">
        <v>0</v>
      </c>
      <c r="Z958" s="1">
        <v>0</v>
      </c>
      <c r="AA958" s="1">
        <v>0</v>
      </c>
      <c r="AB958" s="1">
        <v>0</v>
      </c>
      <c r="AC958" s="1">
        <v>0</v>
      </c>
      <c r="AD958" s="1">
        <v>0</v>
      </c>
    </row>
    <row r="959" spans="1:30" s="20" customFormat="1" ht="36" customHeight="1" x14ac:dyDescent="0.25">
      <c r="A959" s="2">
        <f t="shared" si="478"/>
        <v>931</v>
      </c>
      <c r="B959" s="6">
        <f t="shared" si="477"/>
        <v>931</v>
      </c>
      <c r="C959" s="19" t="s">
        <v>1056</v>
      </c>
      <c r="D959" s="4">
        <f t="shared" si="483"/>
        <v>7338010</v>
      </c>
      <c r="E959" s="1">
        <f>SUM(F959:K959)</f>
        <v>0</v>
      </c>
      <c r="F959" s="1">
        <v>0</v>
      </c>
      <c r="G959" s="1">
        <v>0</v>
      </c>
      <c r="H959" s="1">
        <v>0</v>
      </c>
      <c r="I959" s="1">
        <v>0</v>
      </c>
      <c r="J959" s="1">
        <v>0</v>
      </c>
      <c r="K959" s="1">
        <v>0</v>
      </c>
      <c r="L959" s="2">
        <v>0</v>
      </c>
      <c r="M959" s="1">
        <f t="shared" si="487"/>
        <v>0</v>
      </c>
      <c r="N959" s="1">
        <v>700</v>
      </c>
      <c r="O959" s="1">
        <f>N959*7750</f>
        <v>5425000</v>
      </c>
      <c r="P959" s="1">
        <v>0</v>
      </c>
      <c r="Q959" s="1">
        <f>P959*1400</f>
        <v>0</v>
      </c>
      <c r="R959" s="1">
        <v>510</v>
      </c>
      <c r="S959" s="1">
        <f>R959*3751</f>
        <v>1913010</v>
      </c>
      <c r="T959" s="1">
        <v>0</v>
      </c>
      <c r="U959" s="1">
        <v>0</v>
      </c>
      <c r="V959" s="1">
        <v>0</v>
      </c>
      <c r="W959" s="1">
        <v>0</v>
      </c>
      <c r="X959" s="1">
        <v>0</v>
      </c>
      <c r="Y959" s="1">
        <v>0</v>
      </c>
      <c r="Z959" s="1">
        <v>0</v>
      </c>
      <c r="AA959" s="1">
        <v>0</v>
      </c>
      <c r="AB959" s="1">
        <v>0</v>
      </c>
      <c r="AC959" s="1">
        <v>0</v>
      </c>
      <c r="AD959" s="1">
        <v>0</v>
      </c>
    </row>
    <row r="960" spans="1:30" s="20" customFormat="1" ht="36" customHeight="1" x14ac:dyDescent="0.25">
      <c r="A960" s="2">
        <f t="shared" si="478"/>
        <v>932</v>
      </c>
      <c r="B960" s="6">
        <f t="shared" si="477"/>
        <v>932</v>
      </c>
      <c r="C960" s="19" t="s">
        <v>1057</v>
      </c>
      <c r="D960" s="4">
        <f t="shared" si="483"/>
        <v>7338010</v>
      </c>
      <c r="E960" s="1">
        <f>SUM(F960:K960)</f>
        <v>0</v>
      </c>
      <c r="F960" s="1">
        <v>0</v>
      </c>
      <c r="G960" s="1">
        <v>0</v>
      </c>
      <c r="H960" s="1">
        <v>0</v>
      </c>
      <c r="I960" s="1">
        <v>0</v>
      </c>
      <c r="J960" s="1">
        <v>0</v>
      </c>
      <c r="K960" s="1">
        <v>0</v>
      </c>
      <c r="L960" s="2">
        <v>0</v>
      </c>
      <c r="M960" s="1">
        <f t="shared" si="487"/>
        <v>0</v>
      </c>
      <c r="N960" s="1">
        <v>700</v>
      </c>
      <c r="O960" s="1">
        <f>N960*7750</f>
        <v>5425000</v>
      </c>
      <c r="P960" s="1">
        <v>0</v>
      </c>
      <c r="Q960" s="1">
        <f>P960*1400</f>
        <v>0</v>
      </c>
      <c r="R960" s="1">
        <v>510</v>
      </c>
      <c r="S960" s="1">
        <f>R960*3751</f>
        <v>1913010</v>
      </c>
      <c r="T960" s="1">
        <v>0</v>
      </c>
      <c r="U960" s="1">
        <v>0</v>
      </c>
      <c r="V960" s="1">
        <v>0</v>
      </c>
      <c r="W960" s="1">
        <v>0</v>
      </c>
      <c r="X960" s="1">
        <v>0</v>
      </c>
      <c r="Y960" s="1">
        <v>0</v>
      </c>
      <c r="Z960" s="1">
        <v>0</v>
      </c>
      <c r="AA960" s="1">
        <v>0</v>
      </c>
      <c r="AB960" s="1">
        <v>0</v>
      </c>
      <c r="AC960" s="1">
        <v>0</v>
      </c>
      <c r="AD960" s="1">
        <v>0</v>
      </c>
    </row>
    <row r="961" spans="1:30" s="20" customFormat="1" ht="36" customHeight="1" x14ac:dyDescent="0.25">
      <c r="A961" s="2">
        <f t="shared" si="478"/>
        <v>933</v>
      </c>
      <c r="B961" s="6">
        <f t="shared" ref="B961" si="488">A961</f>
        <v>933</v>
      </c>
      <c r="C961" s="19" t="s">
        <v>1058</v>
      </c>
      <c r="D961" s="4">
        <f t="shared" si="483"/>
        <v>7338010</v>
      </c>
      <c r="E961" s="1">
        <f>SUM(F961:K961)</f>
        <v>0</v>
      </c>
      <c r="F961" s="1">
        <v>0</v>
      </c>
      <c r="G961" s="1">
        <v>0</v>
      </c>
      <c r="H961" s="1">
        <v>0</v>
      </c>
      <c r="I961" s="1">
        <v>0</v>
      </c>
      <c r="J961" s="1">
        <v>0</v>
      </c>
      <c r="K961" s="1">
        <v>0</v>
      </c>
      <c r="L961" s="2">
        <v>0</v>
      </c>
      <c r="M961" s="1">
        <f t="shared" ref="M961" si="489">L961*3500000</f>
        <v>0</v>
      </c>
      <c r="N961" s="1">
        <v>700</v>
      </c>
      <c r="O961" s="1">
        <f>N961*7750</f>
        <v>5425000</v>
      </c>
      <c r="P961" s="1">
        <v>0</v>
      </c>
      <c r="Q961" s="1">
        <f>P961*1400</f>
        <v>0</v>
      </c>
      <c r="R961" s="1">
        <v>510</v>
      </c>
      <c r="S961" s="1">
        <f>R961*3751</f>
        <v>1913010</v>
      </c>
      <c r="T961" s="1">
        <v>0</v>
      </c>
      <c r="U961" s="1">
        <v>0</v>
      </c>
      <c r="V961" s="1">
        <v>0</v>
      </c>
      <c r="W961" s="1">
        <v>0</v>
      </c>
      <c r="X961" s="1">
        <v>0</v>
      </c>
      <c r="Y961" s="1">
        <v>0</v>
      </c>
      <c r="Z961" s="1">
        <v>0</v>
      </c>
      <c r="AA961" s="1">
        <v>0</v>
      </c>
      <c r="AB961" s="1">
        <v>0</v>
      </c>
      <c r="AC961" s="1">
        <v>0</v>
      </c>
      <c r="AD961" s="1">
        <v>0</v>
      </c>
    </row>
    <row r="962" spans="1:30" s="20" customFormat="1" ht="36" customHeight="1" x14ac:dyDescent="0.25">
      <c r="A962" s="2">
        <f t="shared" si="478"/>
        <v>934</v>
      </c>
      <c r="B962" s="6">
        <f>A962</f>
        <v>934</v>
      </c>
      <c r="C962" s="19" t="s">
        <v>1061</v>
      </c>
      <c r="D962" s="4">
        <f t="shared" si="483"/>
        <v>26609133.75</v>
      </c>
      <c r="E962" s="1">
        <f>SUM(F962:K962)</f>
        <v>13624577.749999998</v>
      </c>
      <c r="F962" s="1">
        <f>804*3471.23</f>
        <v>2790868.92</v>
      </c>
      <c r="G962" s="1">
        <f>1693*3471.23</f>
        <v>5876792.3899999997</v>
      </c>
      <c r="H962" s="1">
        <f>390*3471.23</f>
        <v>1353779.7</v>
      </c>
      <c r="I962" s="1">
        <f>571*3471.23</f>
        <v>1982072.33</v>
      </c>
      <c r="J962" s="1">
        <f>467*3471.23</f>
        <v>1621064.41</v>
      </c>
      <c r="K962" s="1">
        <v>0</v>
      </c>
      <c r="L962" s="2">
        <v>0</v>
      </c>
      <c r="M962" s="1">
        <v>0</v>
      </c>
      <c r="N962" s="1">
        <v>867</v>
      </c>
      <c r="O962" s="1">
        <f>N962*4968</f>
        <v>4307256</v>
      </c>
      <c r="P962" s="1">
        <v>0</v>
      </c>
      <c r="Q962" s="1">
        <f>P962*1400</f>
        <v>0</v>
      </c>
      <c r="R962" s="1">
        <v>2300</v>
      </c>
      <c r="S962" s="1">
        <f>R962*3751</f>
        <v>8627300</v>
      </c>
      <c r="T962" s="1">
        <v>0</v>
      </c>
      <c r="U962" s="1">
        <v>50000</v>
      </c>
      <c r="V962" s="1">
        <v>0</v>
      </c>
      <c r="W962" s="1">
        <v>0</v>
      </c>
      <c r="X962" s="1">
        <v>0</v>
      </c>
      <c r="Y962" s="1">
        <v>0</v>
      </c>
      <c r="Z962" s="1">
        <v>0</v>
      </c>
      <c r="AA962" s="1">
        <v>0</v>
      </c>
      <c r="AB962" s="1">
        <v>0</v>
      </c>
      <c r="AC962" s="1">
        <v>0</v>
      </c>
      <c r="AD962" s="1">
        <v>0</v>
      </c>
    </row>
    <row r="963" spans="1:30" s="20" customFormat="1" ht="36" customHeight="1" x14ac:dyDescent="0.25">
      <c r="A963" s="2">
        <f t="shared" si="478"/>
        <v>935</v>
      </c>
      <c r="B963" s="6">
        <f t="shared" si="477"/>
        <v>935</v>
      </c>
      <c r="C963" s="19" t="s">
        <v>548</v>
      </c>
      <c r="D963" s="4">
        <f t="shared" si="483"/>
        <v>18873368.5</v>
      </c>
      <c r="E963" s="1">
        <f t="shared" si="486"/>
        <v>12021568.500000002</v>
      </c>
      <c r="F963" s="1">
        <f>804*3062.82</f>
        <v>2462507.2800000003</v>
      </c>
      <c r="G963" s="1">
        <f>1693*3062.82</f>
        <v>5185354.2600000007</v>
      </c>
      <c r="H963" s="1">
        <f>390*3062.82</f>
        <v>1194499.8</v>
      </c>
      <c r="I963" s="1">
        <f>571*3062.82</f>
        <v>1748870.2200000002</v>
      </c>
      <c r="J963" s="1">
        <f>467*3062.82</f>
        <v>1430336.9400000002</v>
      </c>
      <c r="K963" s="1">
        <v>0</v>
      </c>
      <c r="L963" s="2">
        <v>0</v>
      </c>
      <c r="M963" s="1">
        <f t="shared" si="487"/>
        <v>0</v>
      </c>
      <c r="N963" s="1">
        <v>0</v>
      </c>
      <c r="O963" s="1">
        <v>0</v>
      </c>
      <c r="P963" s="1">
        <v>0</v>
      </c>
      <c r="Q963" s="1">
        <f t="shared" si="484"/>
        <v>0</v>
      </c>
      <c r="R963" s="1">
        <v>1800</v>
      </c>
      <c r="S963" s="1">
        <f t="shared" si="485"/>
        <v>6751800</v>
      </c>
      <c r="T963" s="1">
        <v>0</v>
      </c>
      <c r="U963" s="1">
        <v>50000</v>
      </c>
      <c r="V963" s="1">
        <v>0</v>
      </c>
      <c r="W963" s="1">
        <v>50000</v>
      </c>
      <c r="X963" s="1">
        <v>0</v>
      </c>
      <c r="Y963" s="1">
        <v>0</v>
      </c>
      <c r="Z963" s="1">
        <v>0</v>
      </c>
      <c r="AA963" s="1">
        <v>0</v>
      </c>
      <c r="AB963" s="1">
        <v>0</v>
      </c>
      <c r="AC963" s="1">
        <v>0</v>
      </c>
      <c r="AD963" s="1">
        <v>0</v>
      </c>
    </row>
    <row r="964" spans="1:30" s="20" customFormat="1" ht="36" customHeight="1" x14ac:dyDescent="0.25">
      <c r="A964" s="2">
        <f t="shared" si="478"/>
        <v>936</v>
      </c>
      <c r="B964" s="6">
        <f t="shared" si="477"/>
        <v>936</v>
      </c>
      <c r="C964" s="19" t="s">
        <v>549</v>
      </c>
      <c r="D964" s="4">
        <f t="shared" si="483"/>
        <v>18412048.5</v>
      </c>
      <c r="E964" s="1">
        <f t="shared" si="486"/>
        <v>12310448.500000002</v>
      </c>
      <c r="F964" s="1">
        <f>804*3136.42</f>
        <v>2521681.6800000002</v>
      </c>
      <c r="G964" s="1">
        <f>1693*3136.42</f>
        <v>5309959.0600000005</v>
      </c>
      <c r="H964" s="1">
        <f>390*3136.42</f>
        <v>1223203.8</v>
      </c>
      <c r="I964" s="1">
        <f>571*3136.42</f>
        <v>1790895.82</v>
      </c>
      <c r="J964" s="1">
        <f>467*3136.42</f>
        <v>1464708.1400000001</v>
      </c>
      <c r="K964" s="1">
        <v>0</v>
      </c>
      <c r="L964" s="2">
        <v>0</v>
      </c>
      <c r="M964" s="1">
        <f t="shared" si="487"/>
        <v>0</v>
      </c>
      <c r="N964" s="1">
        <v>0</v>
      </c>
      <c r="O964" s="1">
        <v>0</v>
      </c>
      <c r="P964" s="1">
        <v>0</v>
      </c>
      <c r="Q964" s="1">
        <f t="shared" si="484"/>
        <v>0</v>
      </c>
      <c r="R964" s="1">
        <v>1600</v>
      </c>
      <c r="S964" s="1">
        <f t="shared" si="485"/>
        <v>6001600</v>
      </c>
      <c r="T964" s="1">
        <v>0</v>
      </c>
      <c r="U964" s="1">
        <v>50000</v>
      </c>
      <c r="V964" s="1">
        <v>0</v>
      </c>
      <c r="W964" s="1">
        <v>50000</v>
      </c>
      <c r="X964" s="1">
        <v>0</v>
      </c>
      <c r="Y964" s="1">
        <v>0</v>
      </c>
      <c r="Z964" s="1">
        <v>0</v>
      </c>
      <c r="AA964" s="1">
        <v>0</v>
      </c>
      <c r="AB964" s="1">
        <v>0</v>
      </c>
      <c r="AC964" s="1">
        <v>0</v>
      </c>
      <c r="AD964" s="1">
        <v>0</v>
      </c>
    </row>
    <row r="965" spans="1:30" s="20" customFormat="1" ht="36" customHeight="1" x14ac:dyDescent="0.25">
      <c r="A965" s="2">
        <f t="shared" si="478"/>
        <v>937</v>
      </c>
      <c r="B965" s="6">
        <f t="shared" si="477"/>
        <v>937</v>
      </c>
      <c r="C965" s="19" t="s">
        <v>550</v>
      </c>
      <c r="D965" s="4">
        <f t="shared" si="483"/>
        <v>16505137.819999998</v>
      </c>
      <c r="E965" s="1">
        <f t="shared" si="486"/>
        <v>10403537.819999998</v>
      </c>
      <c r="F965" s="1">
        <f>804*3101.83</f>
        <v>2493871.3199999998</v>
      </c>
      <c r="G965" s="1">
        <f>1693*3101.83</f>
        <v>5251398.1899999995</v>
      </c>
      <c r="H965" s="1">
        <f>390*3101.83</f>
        <v>1209713.7</v>
      </c>
      <c r="I965" s="1">
        <v>0</v>
      </c>
      <c r="J965" s="1">
        <f>467*3101.83</f>
        <v>1448554.6099999999</v>
      </c>
      <c r="K965" s="1">
        <v>0</v>
      </c>
      <c r="L965" s="2">
        <v>0</v>
      </c>
      <c r="M965" s="1">
        <f t="shared" si="487"/>
        <v>0</v>
      </c>
      <c r="N965" s="1">
        <v>0</v>
      </c>
      <c r="O965" s="1">
        <v>0</v>
      </c>
      <c r="P965" s="1">
        <v>0</v>
      </c>
      <c r="Q965" s="1">
        <f t="shared" si="484"/>
        <v>0</v>
      </c>
      <c r="R965" s="1">
        <v>1600</v>
      </c>
      <c r="S965" s="1">
        <f t="shared" si="485"/>
        <v>6001600</v>
      </c>
      <c r="T965" s="1">
        <v>0</v>
      </c>
      <c r="U965" s="1">
        <v>50000</v>
      </c>
      <c r="V965" s="1">
        <v>0</v>
      </c>
      <c r="W965" s="1">
        <v>50000</v>
      </c>
      <c r="X965" s="1">
        <v>0</v>
      </c>
      <c r="Y965" s="1">
        <v>0</v>
      </c>
      <c r="Z965" s="1">
        <v>0</v>
      </c>
      <c r="AA965" s="1">
        <v>0</v>
      </c>
      <c r="AB965" s="1">
        <v>0</v>
      </c>
      <c r="AC965" s="1">
        <v>0</v>
      </c>
      <c r="AD965" s="1">
        <v>0</v>
      </c>
    </row>
    <row r="966" spans="1:30" s="20" customFormat="1" ht="36" customHeight="1" x14ac:dyDescent="0.25">
      <c r="A966" s="2">
        <f t="shared" si="478"/>
        <v>938</v>
      </c>
      <c r="B966" s="6">
        <f>A966</f>
        <v>938</v>
      </c>
      <c r="C966" s="19" t="s">
        <v>1062</v>
      </c>
      <c r="D966" s="4">
        <f t="shared" si="483"/>
        <v>5745063.3200000003</v>
      </c>
      <c r="E966" s="1">
        <f t="shared" si="486"/>
        <v>1045063.32</v>
      </c>
      <c r="F966" s="1">
        <f>804*1299.83</f>
        <v>1045063.32</v>
      </c>
      <c r="G966" s="1">
        <v>0</v>
      </c>
      <c r="H966" s="1">
        <v>0</v>
      </c>
      <c r="I966" s="1">
        <v>0</v>
      </c>
      <c r="J966" s="1">
        <v>0</v>
      </c>
      <c r="K966" s="1">
        <v>0</v>
      </c>
      <c r="L966" s="2">
        <v>0</v>
      </c>
      <c r="M966" s="1">
        <f t="shared" si="487"/>
        <v>0</v>
      </c>
      <c r="N966" s="1">
        <v>600</v>
      </c>
      <c r="O966" s="1">
        <f>N966*7750</f>
        <v>4650000</v>
      </c>
      <c r="P966" s="1">
        <v>0</v>
      </c>
      <c r="Q966" s="1">
        <f t="shared" si="484"/>
        <v>0</v>
      </c>
      <c r="R966" s="1">
        <v>0</v>
      </c>
      <c r="S966" s="1">
        <f t="shared" si="485"/>
        <v>0</v>
      </c>
      <c r="T966" s="1">
        <v>0</v>
      </c>
      <c r="U966" s="1">
        <v>50000</v>
      </c>
      <c r="V966" s="1">
        <v>0</v>
      </c>
      <c r="W966" s="1">
        <v>0</v>
      </c>
      <c r="X966" s="1">
        <v>0</v>
      </c>
      <c r="Y966" s="1">
        <v>0</v>
      </c>
      <c r="Z966" s="1">
        <v>0</v>
      </c>
      <c r="AA966" s="1">
        <v>0</v>
      </c>
      <c r="AB966" s="1">
        <v>0</v>
      </c>
      <c r="AC966" s="1">
        <v>0</v>
      </c>
      <c r="AD966" s="1">
        <v>0</v>
      </c>
    </row>
    <row r="967" spans="1:30" s="20" customFormat="1" ht="36" customHeight="1" x14ac:dyDescent="0.25">
      <c r="A967" s="2">
        <f t="shared" si="478"/>
        <v>939</v>
      </c>
      <c r="B967" s="6">
        <f t="shared" si="477"/>
        <v>939</v>
      </c>
      <c r="C967" s="19" t="s">
        <v>551</v>
      </c>
      <c r="D967" s="4">
        <f t="shared" si="483"/>
        <v>4204353.96</v>
      </c>
      <c r="E967" s="1">
        <f t="shared" si="486"/>
        <v>2678973.96</v>
      </c>
      <c r="F967" s="1">
        <f>804*798.74</f>
        <v>642186.96</v>
      </c>
      <c r="G967" s="1">
        <f>1693*798.74</f>
        <v>1352266.82</v>
      </c>
      <c r="H967" s="1">
        <f>390*798.74</f>
        <v>311508.59999999998</v>
      </c>
      <c r="I967" s="1">
        <v>0</v>
      </c>
      <c r="J967" s="1">
        <f>467*798.74</f>
        <v>373011.58</v>
      </c>
      <c r="K967" s="1">
        <v>0</v>
      </c>
      <c r="L967" s="2">
        <v>0</v>
      </c>
      <c r="M967" s="1">
        <f t="shared" si="487"/>
        <v>0</v>
      </c>
      <c r="N967" s="1">
        <v>0</v>
      </c>
      <c r="O967" s="1">
        <v>0</v>
      </c>
      <c r="P967" s="1">
        <v>0</v>
      </c>
      <c r="Q967" s="1">
        <f t="shared" si="484"/>
        <v>0</v>
      </c>
      <c r="R967" s="1">
        <v>380</v>
      </c>
      <c r="S967" s="1">
        <f t="shared" si="485"/>
        <v>1425380</v>
      </c>
      <c r="T967" s="1">
        <v>0</v>
      </c>
      <c r="U967" s="1">
        <v>50000</v>
      </c>
      <c r="V967" s="1">
        <v>0</v>
      </c>
      <c r="W967" s="1">
        <v>50000</v>
      </c>
      <c r="X967" s="1">
        <v>0</v>
      </c>
      <c r="Y967" s="1">
        <v>0</v>
      </c>
      <c r="Z967" s="1">
        <v>0</v>
      </c>
      <c r="AA967" s="1">
        <v>0</v>
      </c>
      <c r="AB967" s="1">
        <v>0</v>
      </c>
      <c r="AC967" s="1">
        <v>0</v>
      </c>
      <c r="AD967" s="1">
        <v>0</v>
      </c>
    </row>
    <row r="968" spans="1:30" s="20" customFormat="1" ht="36" customHeight="1" x14ac:dyDescent="0.25">
      <c r="A968" s="2">
        <f t="shared" si="478"/>
        <v>940</v>
      </c>
      <c r="B968" s="6">
        <f t="shared" si="477"/>
        <v>940</v>
      </c>
      <c r="C968" s="19" t="s">
        <v>552</v>
      </c>
      <c r="D968" s="4">
        <f t="shared" si="483"/>
        <v>5240748.9399999995</v>
      </c>
      <c r="E968" s="1">
        <f t="shared" si="486"/>
        <v>3790388.94</v>
      </c>
      <c r="F968" s="1">
        <f>804*1130.11</f>
        <v>908608.44</v>
      </c>
      <c r="G968" s="1">
        <f>1693*1130.11</f>
        <v>1913276.2299999997</v>
      </c>
      <c r="H968" s="1">
        <f>390*1130.11</f>
        <v>440742.89999999997</v>
      </c>
      <c r="I968" s="1">
        <v>0</v>
      </c>
      <c r="J968" s="1">
        <f>467*1130.11</f>
        <v>527761.37</v>
      </c>
      <c r="K968" s="1">
        <v>0</v>
      </c>
      <c r="L968" s="2">
        <v>0</v>
      </c>
      <c r="M968" s="1">
        <f t="shared" si="487"/>
        <v>0</v>
      </c>
      <c r="N968" s="1">
        <v>0</v>
      </c>
      <c r="O968" s="1">
        <v>0</v>
      </c>
      <c r="P968" s="1">
        <v>0</v>
      </c>
      <c r="Q968" s="1">
        <f t="shared" si="484"/>
        <v>0</v>
      </c>
      <c r="R968" s="1">
        <v>360</v>
      </c>
      <c r="S968" s="1">
        <f t="shared" si="485"/>
        <v>1350360</v>
      </c>
      <c r="T968" s="1">
        <v>0</v>
      </c>
      <c r="U968" s="1">
        <v>50000</v>
      </c>
      <c r="V968" s="1">
        <v>0</v>
      </c>
      <c r="W968" s="1">
        <v>50000</v>
      </c>
      <c r="X968" s="1">
        <v>0</v>
      </c>
      <c r="Y968" s="1">
        <v>0</v>
      </c>
      <c r="Z968" s="1">
        <v>0</v>
      </c>
      <c r="AA968" s="1">
        <v>0</v>
      </c>
      <c r="AB968" s="1">
        <v>0</v>
      </c>
      <c r="AC968" s="1">
        <v>0</v>
      </c>
      <c r="AD968" s="1">
        <v>0</v>
      </c>
    </row>
    <row r="969" spans="1:30" s="20" customFormat="1" ht="36" customHeight="1" x14ac:dyDescent="0.25">
      <c r="A969" s="2">
        <f t="shared" si="478"/>
        <v>941</v>
      </c>
      <c r="B969" s="6">
        <f t="shared" si="477"/>
        <v>941</v>
      </c>
      <c r="C969" s="19" t="s">
        <v>553</v>
      </c>
      <c r="D969" s="4">
        <f t="shared" si="483"/>
        <v>4303693.76</v>
      </c>
      <c r="E969" s="1">
        <f t="shared" si="486"/>
        <v>2590763.7600000002</v>
      </c>
      <c r="F969" s="1">
        <f>804*772.44</f>
        <v>621041.76</v>
      </c>
      <c r="G969" s="1">
        <f>1693*772.44</f>
        <v>1307740.9200000002</v>
      </c>
      <c r="H969" s="1">
        <f>390*772.44</f>
        <v>301251.60000000003</v>
      </c>
      <c r="I969" s="1">
        <v>0</v>
      </c>
      <c r="J969" s="1">
        <f>467*772.44</f>
        <v>360729.48000000004</v>
      </c>
      <c r="K969" s="1">
        <v>0</v>
      </c>
      <c r="L969" s="2">
        <v>0</v>
      </c>
      <c r="M969" s="1">
        <f t="shared" si="487"/>
        <v>0</v>
      </c>
      <c r="N969" s="1">
        <v>0</v>
      </c>
      <c r="O969" s="1">
        <v>0</v>
      </c>
      <c r="P969" s="1">
        <v>0</v>
      </c>
      <c r="Q969" s="1">
        <f t="shared" si="484"/>
        <v>0</v>
      </c>
      <c r="R969" s="1">
        <v>430</v>
      </c>
      <c r="S969" s="1">
        <f t="shared" si="485"/>
        <v>1612930</v>
      </c>
      <c r="T969" s="1">
        <v>0</v>
      </c>
      <c r="U969" s="1">
        <v>50000</v>
      </c>
      <c r="V969" s="1">
        <v>0</v>
      </c>
      <c r="W969" s="1">
        <v>50000</v>
      </c>
      <c r="X969" s="1">
        <v>0</v>
      </c>
      <c r="Y969" s="1">
        <v>0</v>
      </c>
      <c r="Z969" s="1">
        <v>0</v>
      </c>
      <c r="AA969" s="1">
        <v>0</v>
      </c>
      <c r="AB969" s="1">
        <v>0</v>
      </c>
      <c r="AC969" s="1">
        <v>0</v>
      </c>
      <c r="AD969" s="1">
        <v>0</v>
      </c>
    </row>
    <row r="970" spans="1:30" s="20" customFormat="1" ht="36" customHeight="1" x14ac:dyDescent="0.25">
      <c r="A970" s="2">
        <f t="shared" si="478"/>
        <v>942</v>
      </c>
      <c r="B970" s="6">
        <f t="shared" si="477"/>
        <v>942</v>
      </c>
      <c r="C970" s="19" t="s">
        <v>554</v>
      </c>
      <c r="D970" s="4">
        <f t="shared" si="483"/>
        <v>2335908.29</v>
      </c>
      <c r="E970" s="1">
        <f t="shared" si="486"/>
        <v>998078.29</v>
      </c>
      <c r="F970" s="1">
        <f>804*600.89</f>
        <v>483115.56</v>
      </c>
      <c r="G970" s="1">
        <v>0</v>
      </c>
      <c r="H970" s="1">
        <f>390*600.89</f>
        <v>234347.1</v>
      </c>
      <c r="I970" s="1">
        <v>0</v>
      </c>
      <c r="J970" s="1">
        <f>467*600.89</f>
        <v>280615.63</v>
      </c>
      <c r="K970" s="1">
        <v>0</v>
      </c>
      <c r="L970" s="2">
        <v>0</v>
      </c>
      <c r="M970" s="1">
        <f t="shared" si="487"/>
        <v>0</v>
      </c>
      <c r="N970" s="1">
        <v>0</v>
      </c>
      <c r="O970" s="1">
        <v>0</v>
      </c>
      <c r="P970" s="1">
        <v>0</v>
      </c>
      <c r="Q970" s="1">
        <f t="shared" si="484"/>
        <v>0</v>
      </c>
      <c r="R970" s="1">
        <v>330</v>
      </c>
      <c r="S970" s="1">
        <f t="shared" si="485"/>
        <v>1237830</v>
      </c>
      <c r="T970" s="1">
        <v>0</v>
      </c>
      <c r="U970" s="1">
        <v>50000</v>
      </c>
      <c r="V970" s="1">
        <v>0</v>
      </c>
      <c r="W970" s="1">
        <v>50000</v>
      </c>
      <c r="X970" s="1">
        <v>0</v>
      </c>
      <c r="Y970" s="1">
        <v>0</v>
      </c>
      <c r="Z970" s="1">
        <v>0</v>
      </c>
      <c r="AA970" s="1">
        <v>0</v>
      </c>
      <c r="AB970" s="1">
        <v>0</v>
      </c>
      <c r="AC970" s="1">
        <v>0</v>
      </c>
      <c r="AD970" s="1">
        <v>0</v>
      </c>
    </row>
    <row r="971" spans="1:30" s="20" customFormat="1" ht="36" customHeight="1" x14ac:dyDescent="0.25">
      <c r="A971" s="2">
        <f t="shared" si="478"/>
        <v>943</v>
      </c>
      <c r="B971" s="6">
        <f t="shared" si="477"/>
        <v>943</v>
      </c>
      <c r="C971" s="19" t="s">
        <v>555</v>
      </c>
      <c r="D971" s="4">
        <f t="shared" si="483"/>
        <v>2182863.75</v>
      </c>
      <c r="E971" s="1">
        <f t="shared" si="486"/>
        <v>845033.75</v>
      </c>
      <c r="F971" s="1">
        <f>804*508.75</f>
        <v>409035</v>
      </c>
      <c r="G971" s="1">
        <v>0</v>
      </c>
      <c r="H971" s="1">
        <f>390*508.75</f>
        <v>198412.5</v>
      </c>
      <c r="I971" s="1">
        <v>0</v>
      </c>
      <c r="J971" s="1">
        <f>467*508.75</f>
        <v>237586.25</v>
      </c>
      <c r="K971" s="1">
        <v>0</v>
      </c>
      <c r="L971" s="2">
        <v>0</v>
      </c>
      <c r="M971" s="1">
        <f t="shared" si="487"/>
        <v>0</v>
      </c>
      <c r="N971" s="1">
        <v>0</v>
      </c>
      <c r="O971" s="1">
        <v>0</v>
      </c>
      <c r="P971" s="1">
        <v>0</v>
      </c>
      <c r="Q971" s="1">
        <f t="shared" si="484"/>
        <v>0</v>
      </c>
      <c r="R971" s="1">
        <v>330</v>
      </c>
      <c r="S971" s="1">
        <f t="shared" si="485"/>
        <v>1237830</v>
      </c>
      <c r="T971" s="1">
        <v>0</v>
      </c>
      <c r="U971" s="1">
        <v>50000</v>
      </c>
      <c r="V971" s="1">
        <v>0</v>
      </c>
      <c r="W971" s="1">
        <v>50000</v>
      </c>
      <c r="X971" s="1">
        <v>0</v>
      </c>
      <c r="Y971" s="1">
        <v>0</v>
      </c>
      <c r="Z971" s="1">
        <v>0</v>
      </c>
      <c r="AA971" s="1">
        <v>0</v>
      </c>
      <c r="AB971" s="1">
        <v>0</v>
      </c>
      <c r="AC971" s="1">
        <v>0</v>
      </c>
      <c r="AD971" s="1">
        <v>0</v>
      </c>
    </row>
    <row r="972" spans="1:30" s="20" customFormat="1" ht="36" customHeight="1" x14ac:dyDescent="0.25">
      <c r="A972" s="2">
        <f t="shared" si="478"/>
        <v>944</v>
      </c>
      <c r="B972" s="6">
        <f t="shared" si="477"/>
        <v>944</v>
      </c>
      <c r="C972" s="19" t="s">
        <v>556</v>
      </c>
      <c r="D972" s="4">
        <f t="shared" si="483"/>
        <v>2196002.2599999998</v>
      </c>
      <c r="E972" s="1">
        <f t="shared" si="486"/>
        <v>858172.25999999989</v>
      </c>
      <c r="F972" s="1">
        <f>804*516.66</f>
        <v>415394.63999999996</v>
      </c>
      <c r="G972" s="1">
        <v>0</v>
      </c>
      <c r="H972" s="1">
        <f>390*516.66</f>
        <v>201497.4</v>
      </c>
      <c r="I972" s="1">
        <v>0</v>
      </c>
      <c r="J972" s="1">
        <f>467*516.66</f>
        <v>241280.21999999997</v>
      </c>
      <c r="K972" s="1">
        <v>0</v>
      </c>
      <c r="L972" s="2">
        <v>0</v>
      </c>
      <c r="M972" s="1">
        <f t="shared" si="487"/>
        <v>0</v>
      </c>
      <c r="N972" s="1">
        <v>0</v>
      </c>
      <c r="O972" s="1">
        <v>0</v>
      </c>
      <c r="P972" s="1">
        <v>0</v>
      </c>
      <c r="Q972" s="1">
        <f t="shared" si="484"/>
        <v>0</v>
      </c>
      <c r="R972" s="1">
        <v>330</v>
      </c>
      <c r="S972" s="1">
        <f t="shared" si="485"/>
        <v>1237830</v>
      </c>
      <c r="T972" s="1">
        <v>0</v>
      </c>
      <c r="U972" s="1">
        <v>50000</v>
      </c>
      <c r="V972" s="1">
        <v>0</v>
      </c>
      <c r="W972" s="1">
        <v>50000</v>
      </c>
      <c r="X972" s="1">
        <v>0</v>
      </c>
      <c r="Y972" s="1">
        <v>0</v>
      </c>
      <c r="Z972" s="1">
        <v>0</v>
      </c>
      <c r="AA972" s="1">
        <v>0</v>
      </c>
      <c r="AB972" s="1">
        <v>0</v>
      </c>
      <c r="AC972" s="1">
        <v>0</v>
      </c>
      <c r="AD972" s="1">
        <v>0</v>
      </c>
    </row>
    <row r="973" spans="1:30" s="20" customFormat="1" ht="36" customHeight="1" x14ac:dyDescent="0.25">
      <c r="A973" s="2">
        <f t="shared" si="478"/>
        <v>945</v>
      </c>
      <c r="B973" s="6">
        <f t="shared" si="477"/>
        <v>945</v>
      </c>
      <c r="C973" s="19" t="s">
        <v>557</v>
      </c>
      <c r="D973" s="4">
        <f t="shared" si="483"/>
        <v>1847757</v>
      </c>
      <c r="E973" s="1">
        <f t="shared" si="486"/>
        <v>509927</v>
      </c>
      <c r="F973" s="1">
        <f>804*307</f>
        <v>246828</v>
      </c>
      <c r="G973" s="1">
        <v>0</v>
      </c>
      <c r="H973" s="1">
        <f>390*307</f>
        <v>119730</v>
      </c>
      <c r="I973" s="1">
        <v>0</v>
      </c>
      <c r="J973" s="1">
        <f>467*307</f>
        <v>143369</v>
      </c>
      <c r="K973" s="1">
        <v>0</v>
      </c>
      <c r="L973" s="2">
        <v>0</v>
      </c>
      <c r="M973" s="1">
        <f t="shared" si="487"/>
        <v>0</v>
      </c>
      <c r="N973" s="1">
        <v>0</v>
      </c>
      <c r="O973" s="1">
        <v>0</v>
      </c>
      <c r="P973" s="1">
        <v>0</v>
      </c>
      <c r="Q973" s="1">
        <f t="shared" si="484"/>
        <v>0</v>
      </c>
      <c r="R973" s="1">
        <v>330</v>
      </c>
      <c r="S973" s="1">
        <f t="shared" si="485"/>
        <v>1237830</v>
      </c>
      <c r="T973" s="1">
        <v>0</v>
      </c>
      <c r="U973" s="1">
        <v>50000</v>
      </c>
      <c r="V973" s="1">
        <v>0</v>
      </c>
      <c r="W973" s="1">
        <v>50000</v>
      </c>
      <c r="X973" s="1">
        <v>0</v>
      </c>
      <c r="Y973" s="1">
        <v>0</v>
      </c>
      <c r="Z973" s="1">
        <v>0</v>
      </c>
      <c r="AA973" s="1">
        <v>0</v>
      </c>
      <c r="AB973" s="1">
        <v>0</v>
      </c>
      <c r="AC973" s="1">
        <v>0</v>
      </c>
      <c r="AD973" s="1">
        <v>0</v>
      </c>
    </row>
    <row r="974" spans="1:30" s="20" customFormat="1" ht="36" customHeight="1" x14ac:dyDescent="0.25">
      <c r="A974" s="2">
        <f t="shared" ref="A974:A1017" si="490">ROW()-ROW($A$11)-17</f>
        <v>946</v>
      </c>
      <c r="B974" s="6">
        <f>A974</f>
        <v>946</v>
      </c>
      <c r="C974" s="19" t="s">
        <v>1063</v>
      </c>
      <c r="D974" s="4">
        <f t="shared" si="483"/>
        <v>11871089.399999999</v>
      </c>
      <c r="E974" s="1">
        <f>SUM(F974:K974)</f>
        <v>4447739.3999999994</v>
      </c>
      <c r="F974" s="1">
        <f>804*1326.1</f>
        <v>1066184.3999999999</v>
      </c>
      <c r="G974" s="1">
        <f>1693*1326.1</f>
        <v>2245087.2999999998</v>
      </c>
      <c r="H974" s="1">
        <f>390*1326.1</f>
        <v>517178.99999999994</v>
      </c>
      <c r="I974" s="1">
        <v>0</v>
      </c>
      <c r="J974" s="1">
        <f>467*1326.1</f>
        <v>619288.69999999995</v>
      </c>
      <c r="K974" s="1">
        <v>0</v>
      </c>
      <c r="L974" s="2">
        <v>0</v>
      </c>
      <c r="M974" s="1">
        <v>0</v>
      </c>
      <c r="N974" s="1">
        <v>661</v>
      </c>
      <c r="O974" s="1">
        <f>N974*7750</f>
        <v>5122750</v>
      </c>
      <c r="P974" s="1">
        <v>0</v>
      </c>
      <c r="Q974" s="1">
        <f>P974*1400</f>
        <v>0</v>
      </c>
      <c r="R974" s="1">
        <v>600</v>
      </c>
      <c r="S974" s="1">
        <f>R974*3751</f>
        <v>2250600</v>
      </c>
      <c r="T974" s="1">
        <v>0</v>
      </c>
      <c r="U974" s="1">
        <v>50000</v>
      </c>
      <c r="V974" s="1">
        <v>0</v>
      </c>
      <c r="W974" s="1">
        <v>0</v>
      </c>
      <c r="X974" s="1">
        <v>0</v>
      </c>
      <c r="Y974" s="1">
        <v>0</v>
      </c>
      <c r="Z974" s="1">
        <v>0</v>
      </c>
      <c r="AA974" s="1">
        <v>0</v>
      </c>
      <c r="AB974" s="1">
        <v>0</v>
      </c>
      <c r="AC974" s="1">
        <v>0</v>
      </c>
      <c r="AD974" s="1">
        <v>0</v>
      </c>
    </row>
    <row r="975" spans="1:30" s="20" customFormat="1" ht="36" customHeight="1" x14ac:dyDescent="0.25">
      <c r="A975" s="2">
        <f t="shared" si="490"/>
        <v>947</v>
      </c>
      <c r="B975" s="6">
        <f t="shared" si="477"/>
        <v>947</v>
      </c>
      <c r="C975" s="19" t="s">
        <v>558</v>
      </c>
      <c r="D975" s="4">
        <f t="shared" si="483"/>
        <v>3736374.9</v>
      </c>
      <c r="E975" s="1">
        <f t="shared" si="486"/>
        <v>499794.89999999997</v>
      </c>
      <c r="F975" s="1">
        <f>804*300.9</f>
        <v>241923.59999999998</v>
      </c>
      <c r="G975" s="1">
        <v>0</v>
      </c>
      <c r="H975" s="1">
        <f>390*300.9</f>
        <v>117350.99999999999</v>
      </c>
      <c r="I975" s="1">
        <v>0</v>
      </c>
      <c r="J975" s="1">
        <f>467*300.9</f>
        <v>140520.29999999999</v>
      </c>
      <c r="K975" s="1">
        <v>0</v>
      </c>
      <c r="L975" s="2">
        <v>0</v>
      </c>
      <c r="M975" s="1">
        <f t="shared" si="487"/>
        <v>0</v>
      </c>
      <c r="N975" s="1">
        <v>245</v>
      </c>
      <c r="O975" s="1">
        <f>N975*7750</f>
        <v>1898750</v>
      </c>
      <c r="P975" s="1">
        <v>0</v>
      </c>
      <c r="Q975" s="1">
        <f t="shared" si="484"/>
        <v>0</v>
      </c>
      <c r="R975" s="1">
        <v>330</v>
      </c>
      <c r="S975" s="1">
        <f t="shared" si="485"/>
        <v>1237830</v>
      </c>
      <c r="T975" s="1">
        <v>0</v>
      </c>
      <c r="U975" s="1">
        <v>50000</v>
      </c>
      <c r="V975" s="1">
        <v>0</v>
      </c>
      <c r="W975" s="1">
        <v>50000</v>
      </c>
      <c r="X975" s="1">
        <v>0</v>
      </c>
      <c r="Y975" s="1">
        <v>0</v>
      </c>
      <c r="Z975" s="1">
        <v>0</v>
      </c>
      <c r="AA975" s="1">
        <v>0</v>
      </c>
      <c r="AB975" s="1">
        <v>0</v>
      </c>
      <c r="AC975" s="1">
        <v>0</v>
      </c>
      <c r="AD975" s="1">
        <v>0</v>
      </c>
    </row>
    <row r="976" spans="1:30" s="20" customFormat="1" ht="36" customHeight="1" x14ac:dyDescent="0.25">
      <c r="A976" s="2">
        <f t="shared" si="490"/>
        <v>948</v>
      </c>
      <c r="B976" s="6">
        <f t="shared" si="477"/>
        <v>948</v>
      </c>
      <c r="C976" s="19" t="s">
        <v>559</v>
      </c>
      <c r="D976" s="4">
        <f t="shared" si="483"/>
        <v>2169393.04</v>
      </c>
      <c r="E976" s="1">
        <f t="shared" si="486"/>
        <v>831563.04</v>
      </c>
      <c r="F976" s="1">
        <f>804*500.64</f>
        <v>402514.56</v>
      </c>
      <c r="G976" s="1">
        <v>0</v>
      </c>
      <c r="H976" s="1">
        <f>390*500.64</f>
        <v>195249.6</v>
      </c>
      <c r="I976" s="1">
        <v>0</v>
      </c>
      <c r="J976" s="1">
        <f>467*500.64</f>
        <v>233798.88</v>
      </c>
      <c r="K976" s="1">
        <v>0</v>
      </c>
      <c r="L976" s="2">
        <v>0</v>
      </c>
      <c r="M976" s="1">
        <f t="shared" si="487"/>
        <v>0</v>
      </c>
      <c r="N976" s="1">
        <v>0</v>
      </c>
      <c r="O976" s="1">
        <v>0</v>
      </c>
      <c r="P976" s="1">
        <v>0</v>
      </c>
      <c r="Q976" s="1">
        <f t="shared" si="484"/>
        <v>0</v>
      </c>
      <c r="R976" s="1">
        <v>330</v>
      </c>
      <c r="S976" s="1">
        <f t="shared" si="485"/>
        <v>1237830</v>
      </c>
      <c r="T976" s="1">
        <v>0</v>
      </c>
      <c r="U976" s="1">
        <v>50000</v>
      </c>
      <c r="V976" s="1">
        <v>0</v>
      </c>
      <c r="W976" s="1">
        <v>50000</v>
      </c>
      <c r="X976" s="1">
        <v>0</v>
      </c>
      <c r="Y976" s="1">
        <v>0</v>
      </c>
      <c r="Z976" s="1">
        <v>0</v>
      </c>
      <c r="AA976" s="1">
        <v>0</v>
      </c>
      <c r="AB976" s="1">
        <v>0</v>
      </c>
      <c r="AC976" s="1">
        <v>0</v>
      </c>
      <c r="AD976" s="1">
        <v>0</v>
      </c>
    </row>
    <row r="977" spans="1:30" s="20" customFormat="1" ht="36" customHeight="1" x14ac:dyDescent="0.25">
      <c r="A977" s="2">
        <f t="shared" si="490"/>
        <v>949</v>
      </c>
      <c r="B977" s="6">
        <f t="shared" ref="B977:B1017" si="491">A977</f>
        <v>949</v>
      </c>
      <c r="C977" s="19" t="s">
        <v>560</v>
      </c>
      <c r="D977" s="4">
        <f t="shared" si="483"/>
        <v>1793442.3</v>
      </c>
      <c r="E977" s="1">
        <f t="shared" si="486"/>
        <v>455612.30000000005</v>
      </c>
      <c r="F977" s="1">
        <f>804*274.3</f>
        <v>220537.2</v>
      </c>
      <c r="G977" s="1">
        <v>0</v>
      </c>
      <c r="H977" s="1">
        <f>390*274.3</f>
        <v>106977</v>
      </c>
      <c r="I977" s="1">
        <v>0</v>
      </c>
      <c r="J977" s="1">
        <f>467*274.3</f>
        <v>128098.1</v>
      </c>
      <c r="K977" s="1">
        <v>0</v>
      </c>
      <c r="L977" s="2">
        <v>0</v>
      </c>
      <c r="M977" s="1">
        <f t="shared" si="487"/>
        <v>0</v>
      </c>
      <c r="N977" s="1">
        <v>0</v>
      </c>
      <c r="O977" s="1">
        <v>0</v>
      </c>
      <c r="P977" s="1">
        <v>0</v>
      </c>
      <c r="Q977" s="1">
        <f t="shared" si="484"/>
        <v>0</v>
      </c>
      <c r="R977" s="1">
        <v>330</v>
      </c>
      <c r="S977" s="1">
        <f t="shared" si="485"/>
        <v>1237830</v>
      </c>
      <c r="T977" s="1">
        <v>0</v>
      </c>
      <c r="U977" s="1">
        <v>50000</v>
      </c>
      <c r="V977" s="1">
        <v>0</v>
      </c>
      <c r="W977" s="1">
        <v>50000</v>
      </c>
      <c r="X977" s="1">
        <v>0</v>
      </c>
      <c r="Y977" s="1">
        <v>0</v>
      </c>
      <c r="Z977" s="1">
        <v>0</v>
      </c>
      <c r="AA977" s="1">
        <v>0</v>
      </c>
      <c r="AB977" s="1">
        <v>0</v>
      </c>
      <c r="AC977" s="1">
        <v>0</v>
      </c>
      <c r="AD977" s="1">
        <v>0</v>
      </c>
    </row>
    <row r="978" spans="1:30" s="20" customFormat="1" ht="36" customHeight="1" x14ac:dyDescent="0.25">
      <c r="A978" s="2">
        <f t="shared" si="490"/>
        <v>950</v>
      </c>
      <c r="B978" s="6">
        <f t="shared" si="491"/>
        <v>950</v>
      </c>
      <c r="C978" s="19" t="s">
        <v>561</v>
      </c>
      <c r="D978" s="4">
        <f t="shared" si="483"/>
        <v>2173728.25</v>
      </c>
      <c r="E978" s="1">
        <f t="shared" si="486"/>
        <v>835898.25</v>
      </c>
      <c r="F978" s="1">
        <f>804*503.25</f>
        <v>404613</v>
      </c>
      <c r="G978" s="1">
        <v>0</v>
      </c>
      <c r="H978" s="1">
        <f>390*503.25</f>
        <v>196267.5</v>
      </c>
      <c r="I978" s="1">
        <v>0</v>
      </c>
      <c r="J978" s="1">
        <f>467*503.25</f>
        <v>235017.75</v>
      </c>
      <c r="K978" s="1">
        <v>0</v>
      </c>
      <c r="L978" s="2">
        <v>0</v>
      </c>
      <c r="M978" s="1">
        <f t="shared" si="487"/>
        <v>0</v>
      </c>
      <c r="N978" s="1">
        <v>0</v>
      </c>
      <c r="O978" s="1">
        <v>0</v>
      </c>
      <c r="P978" s="1">
        <v>0</v>
      </c>
      <c r="Q978" s="1">
        <f t="shared" si="484"/>
        <v>0</v>
      </c>
      <c r="R978" s="1">
        <v>330</v>
      </c>
      <c r="S978" s="1">
        <f t="shared" si="485"/>
        <v>1237830</v>
      </c>
      <c r="T978" s="1">
        <v>0</v>
      </c>
      <c r="U978" s="1">
        <v>50000</v>
      </c>
      <c r="V978" s="1">
        <v>0</v>
      </c>
      <c r="W978" s="1">
        <v>50000</v>
      </c>
      <c r="X978" s="1">
        <v>0</v>
      </c>
      <c r="Y978" s="1">
        <v>0</v>
      </c>
      <c r="Z978" s="1">
        <v>0</v>
      </c>
      <c r="AA978" s="1">
        <v>0</v>
      </c>
      <c r="AB978" s="1">
        <v>0</v>
      </c>
      <c r="AC978" s="1">
        <v>0</v>
      </c>
      <c r="AD978" s="1">
        <v>0</v>
      </c>
    </row>
    <row r="979" spans="1:30" s="20" customFormat="1" ht="36" customHeight="1" x14ac:dyDescent="0.25">
      <c r="A979" s="2">
        <f t="shared" si="490"/>
        <v>951</v>
      </c>
      <c r="B979" s="6">
        <f>A979</f>
        <v>951</v>
      </c>
      <c r="C979" s="19" t="s">
        <v>1064</v>
      </c>
      <c r="D979" s="4">
        <f t="shared" si="483"/>
        <v>3255000</v>
      </c>
      <c r="E979" s="1">
        <f t="shared" si="486"/>
        <v>0</v>
      </c>
      <c r="F979" s="1">
        <v>0</v>
      </c>
      <c r="G979" s="1">
        <v>0</v>
      </c>
      <c r="H979" s="1">
        <v>0</v>
      </c>
      <c r="I979" s="1">
        <v>0</v>
      </c>
      <c r="J979" s="1">
        <v>0</v>
      </c>
      <c r="K979" s="1">
        <v>0</v>
      </c>
      <c r="L979" s="2">
        <v>0</v>
      </c>
      <c r="M979" s="1">
        <f t="shared" si="487"/>
        <v>0</v>
      </c>
      <c r="N979" s="1">
        <v>420</v>
      </c>
      <c r="O979" s="1">
        <f>N979*7750</f>
        <v>3255000</v>
      </c>
      <c r="P979" s="1">
        <v>0</v>
      </c>
      <c r="Q979" s="1">
        <f t="shared" si="484"/>
        <v>0</v>
      </c>
      <c r="R979" s="1">
        <v>0</v>
      </c>
      <c r="S979" s="1">
        <f t="shared" si="485"/>
        <v>0</v>
      </c>
      <c r="T979" s="1">
        <v>0</v>
      </c>
      <c r="U979" s="1">
        <v>0</v>
      </c>
      <c r="V979" s="1">
        <v>0</v>
      </c>
      <c r="W979" s="1">
        <v>0</v>
      </c>
      <c r="X979" s="1">
        <v>0</v>
      </c>
      <c r="Y979" s="1">
        <v>0</v>
      </c>
      <c r="Z979" s="1">
        <v>0</v>
      </c>
      <c r="AA979" s="1">
        <v>0</v>
      </c>
      <c r="AB979" s="1">
        <v>0</v>
      </c>
      <c r="AC979" s="1">
        <v>0</v>
      </c>
      <c r="AD979" s="1">
        <v>0</v>
      </c>
    </row>
    <row r="980" spans="1:30" s="20" customFormat="1" ht="36" customHeight="1" x14ac:dyDescent="0.25">
      <c r="A980" s="2">
        <f t="shared" si="490"/>
        <v>952</v>
      </c>
      <c r="B980" s="6">
        <f t="shared" si="491"/>
        <v>952</v>
      </c>
      <c r="C980" s="19" t="s">
        <v>562</v>
      </c>
      <c r="D980" s="4">
        <f t="shared" si="483"/>
        <v>3763979.44</v>
      </c>
      <c r="E980" s="1">
        <f t="shared" si="486"/>
        <v>2426149.44</v>
      </c>
      <c r="F980" s="1">
        <f>804*723.36</f>
        <v>581581.44000000006</v>
      </c>
      <c r="G980" s="1">
        <f>1693*723.36</f>
        <v>1224648.48</v>
      </c>
      <c r="H980" s="1">
        <f>390*723.36</f>
        <v>282110.40000000002</v>
      </c>
      <c r="I980" s="1">
        <v>0</v>
      </c>
      <c r="J980" s="1">
        <f>467*723.36</f>
        <v>337809.12</v>
      </c>
      <c r="K980" s="1">
        <v>0</v>
      </c>
      <c r="L980" s="2">
        <v>0</v>
      </c>
      <c r="M980" s="1">
        <f t="shared" si="487"/>
        <v>0</v>
      </c>
      <c r="N980" s="1">
        <v>0</v>
      </c>
      <c r="O980" s="1">
        <v>0</v>
      </c>
      <c r="P980" s="1">
        <v>0</v>
      </c>
      <c r="Q980" s="1">
        <f t="shared" si="484"/>
        <v>0</v>
      </c>
      <c r="R980" s="1">
        <v>330</v>
      </c>
      <c r="S980" s="1">
        <f t="shared" si="485"/>
        <v>1237830</v>
      </c>
      <c r="T980" s="1">
        <v>0</v>
      </c>
      <c r="U980" s="1">
        <v>50000</v>
      </c>
      <c r="V980" s="1">
        <v>0</v>
      </c>
      <c r="W980" s="1">
        <v>50000</v>
      </c>
      <c r="X980" s="1">
        <v>0</v>
      </c>
      <c r="Y980" s="1">
        <v>0</v>
      </c>
      <c r="Z980" s="1">
        <v>0</v>
      </c>
      <c r="AA980" s="1">
        <v>0</v>
      </c>
      <c r="AB980" s="1">
        <v>0</v>
      </c>
      <c r="AC980" s="1">
        <v>0</v>
      </c>
      <c r="AD980" s="1">
        <v>0</v>
      </c>
    </row>
    <row r="981" spans="1:30" s="20" customFormat="1" ht="36" customHeight="1" x14ac:dyDescent="0.25">
      <c r="A981" s="2">
        <f t="shared" si="490"/>
        <v>953</v>
      </c>
      <c r="B981" s="6">
        <f t="shared" si="491"/>
        <v>953</v>
      </c>
      <c r="C981" s="19" t="s">
        <v>563</v>
      </c>
      <c r="D981" s="4">
        <f t="shared" si="483"/>
        <v>2214605.46</v>
      </c>
      <c r="E981" s="1">
        <f t="shared" si="486"/>
        <v>876775.46</v>
      </c>
      <c r="F981" s="1">
        <f>804*527.86</f>
        <v>424399.44</v>
      </c>
      <c r="G981" s="1">
        <v>0</v>
      </c>
      <c r="H981" s="1">
        <f>390*527.86</f>
        <v>205865.4</v>
      </c>
      <c r="I981" s="1">
        <v>0</v>
      </c>
      <c r="J981" s="1">
        <f>467*527.86</f>
        <v>246510.62</v>
      </c>
      <c r="K981" s="1">
        <v>0</v>
      </c>
      <c r="L981" s="2">
        <v>0</v>
      </c>
      <c r="M981" s="1">
        <f t="shared" si="487"/>
        <v>0</v>
      </c>
      <c r="N981" s="1">
        <v>0</v>
      </c>
      <c r="O981" s="1">
        <v>0</v>
      </c>
      <c r="P981" s="1">
        <v>0</v>
      </c>
      <c r="Q981" s="1">
        <f t="shared" si="484"/>
        <v>0</v>
      </c>
      <c r="R981" s="1">
        <v>330</v>
      </c>
      <c r="S981" s="1">
        <f t="shared" si="485"/>
        <v>1237830</v>
      </c>
      <c r="T981" s="1">
        <v>0</v>
      </c>
      <c r="U981" s="1">
        <v>50000</v>
      </c>
      <c r="V981" s="1">
        <v>0</v>
      </c>
      <c r="W981" s="1">
        <v>50000</v>
      </c>
      <c r="X981" s="1">
        <v>0</v>
      </c>
      <c r="Y981" s="1">
        <v>0</v>
      </c>
      <c r="Z981" s="1">
        <v>0</v>
      </c>
      <c r="AA981" s="1">
        <v>0</v>
      </c>
      <c r="AB981" s="1">
        <v>0</v>
      </c>
      <c r="AC981" s="1">
        <v>0</v>
      </c>
      <c r="AD981" s="1">
        <v>0</v>
      </c>
    </row>
    <row r="982" spans="1:30" s="20" customFormat="1" ht="36" customHeight="1" x14ac:dyDescent="0.25">
      <c r="A982" s="2">
        <f t="shared" si="490"/>
        <v>954</v>
      </c>
      <c r="B982" s="6">
        <f t="shared" si="491"/>
        <v>954</v>
      </c>
      <c r="C982" s="19" t="s">
        <v>564</v>
      </c>
      <c r="D982" s="4">
        <f t="shared" si="483"/>
        <v>1795036.8599999999</v>
      </c>
      <c r="E982" s="1">
        <f t="shared" si="486"/>
        <v>457206.85999999993</v>
      </c>
      <c r="F982" s="1">
        <f>804*275.26</f>
        <v>221309.03999999998</v>
      </c>
      <c r="G982" s="1">
        <v>0</v>
      </c>
      <c r="H982" s="1">
        <f>390*275.26</f>
        <v>107351.4</v>
      </c>
      <c r="I982" s="1">
        <v>0</v>
      </c>
      <c r="J982" s="1">
        <f>467*275.26</f>
        <v>128546.42</v>
      </c>
      <c r="K982" s="1">
        <v>0</v>
      </c>
      <c r="L982" s="2">
        <v>0</v>
      </c>
      <c r="M982" s="1">
        <f t="shared" si="487"/>
        <v>0</v>
      </c>
      <c r="N982" s="1">
        <v>0</v>
      </c>
      <c r="O982" s="1">
        <v>0</v>
      </c>
      <c r="P982" s="1">
        <v>0</v>
      </c>
      <c r="Q982" s="1">
        <f t="shared" si="484"/>
        <v>0</v>
      </c>
      <c r="R982" s="1">
        <v>330</v>
      </c>
      <c r="S982" s="1">
        <f t="shared" si="485"/>
        <v>1237830</v>
      </c>
      <c r="T982" s="1">
        <v>0</v>
      </c>
      <c r="U982" s="1">
        <v>50000</v>
      </c>
      <c r="V982" s="1">
        <v>0</v>
      </c>
      <c r="W982" s="1">
        <v>50000</v>
      </c>
      <c r="X982" s="1">
        <v>0</v>
      </c>
      <c r="Y982" s="1">
        <v>0</v>
      </c>
      <c r="Z982" s="1">
        <v>0</v>
      </c>
      <c r="AA982" s="1">
        <v>0</v>
      </c>
      <c r="AB982" s="1">
        <v>0</v>
      </c>
      <c r="AC982" s="1">
        <v>0</v>
      </c>
      <c r="AD982" s="1">
        <v>0</v>
      </c>
    </row>
    <row r="983" spans="1:30" s="20" customFormat="1" ht="36" customHeight="1" x14ac:dyDescent="0.25">
      <c r="A983" s="2">
        <f t="shared" si="490"/>
        <v>955</v>
      </c>
      <c r="B983" s="6">
        <f t="shared" si="491"/>
        <v>955</v>
      </c>
      <c r="C983" s="19" t="s">
        <v>565</v>
      </c>
      <c r="D983" s="4">
        <f t="shared" si="483"/>
        <v>2676121</v>
      </c>
      <c r="E983" s="1">
        <f t="shared" si="486"/>
        <v>1338291</v>
      </c>
      <c r="F983" s="1">
        <v>0</v>
      </c>
      <c r="G983" s="1">
        <f>1693*524.82</f>
        <v>888520.26000000013</v>
      </c>
      <c r="H983" s="1">
        <f>390*524.82</f>
        <v>204679.80000000002</v>
      </c>
      <c r="I983" s="1">
        <v>0</v>
      </c>
      <c r="J983" s="1">
        <f>467*524.82</f>
        <v>245090.94000000003</v>
      </c>
      <c r="K983" s="1">
        <v>0</v>
      </c>
      <c r="L983" s="2">
        <v>0</v>
      </c>
      <c r="M983" s="1">
        <f t="shared" si="487"/>
        <v>0</v>
      </c>
      <c r="N983" s="1">
        <v>0</v>
      </c>
      <c r="O983" s="1">
        <v>0</v>
      </c>
      <c r="P983" s="1">
        <v>0</v>
      </c>
      <c r="Q983" s="1">
        <f t="shared" si="484"/>
        <v>0</v>
      </c>
      <c r="R983" s="1">
        <v>330</v>
      </c>
      <c r="S983" s="1">
        <f t="shared" si="485"/>
        <v>1237830</v>
      </c>
      <c r="T983" s="1">
        <v>0</v>
      </c>
      <c r="U983" s="1">
        <v>50000</v>
      </c>
      <c r="V983" s="1">
        <v>0</v>
      </c>
      <c r="W983" s="1">
        <v>50000</v>
      </c>
      <c r="X983" s="1">
        <v>0</v>
      </c>
      <c r="Y983" s="1">
        <v>0</v>
      </c>
      <c r="Z983" s="1">
        <v>0</v>
      </c>
      <c r="AA983" s="1">
        <v>0</v>
      </c>
      <c r="AB983" s="1">
        <v>0</v>
      </c>
      <c r="AC983" s="1">
        <v>0</v>
      </c>
      <c r="AD983" s="1">
        <v>0</v>
      </c>
    </row>
    <row r="984" spans="1:30" s="20" customFormat="1" ht="36" customHeight="1" x14ac:dyDescent="0.25">
      <c r="A984" s="2">
        <f t="shared" si="490"/>
        <v>956</v>
      </c>
      <c r="B984" s="6">
        <f t="shared" si="491"/>
        <v>956</v>
      </c>
      <c r="C984" s="19" t="s">
        <v>566</v>
      </c>
      <c r="D984" s="4">
        <f t="shared" si="483"/>
        <v>2515088.5</v>
      </c>
      <c r="E984" s="1">
        <f t="shared" si="486"/>
        <v>1177258.5</v>
      </c>
      <c r="F984" s="1">
        <v>0</v>
      </c>
      <c r="G984" s="1">
        <f>1693*461.67</f>
        <v>781607.31</v>
      </c>
      <c r="H984" s="1">
        <f>390*461.67</f>
        <v>180051.30000000002</v>
      </c>
      <c r="I984" s="1">
        <v>0</v>
      </c>
      <c r="J984" s="1">
        <f>467*461.67</f>
        <v>215599.89</v>
      </c>
      <c r="K984" s="1">
        <v>0</v>
      </c>
      <c r="L984" s="2">
        <v>0</v>
      </c>
      <c r="M984" s="1">
        <f t="shared" si="487"/>
        <v>0</v>
      </c>
      <c r="N984" s="1">
        <v>0</v>
      </c>
      <c r="O984" s="1">
        <v>0</v>
      </c>
      <c r="P984" s="1">
        <v>0</v>
      </c>
      <c r="Q984" s="1">
        <f t="shared" si="484"/>
        <v>0</v>
      </c>
      <c r="R984" s="1">
        <v>330</v>
      </c>
      <c r="S984" s="1">
        <f t="shared" si="485"/>
        <v>1237830</v>
      </c>
      <c r="T984" s="1">
        <v>0</v>
      </c>
      <c r="U984" s="1">
        <v>50000</v>
      </c>
      <c r="V984" s="1">
        <v>0</v>
      </c>
      <c r="W984" s="1">
        <v>50000</v>
      </c>
      <c r="X984" s="1">
        <v>0</v>
      </c>
      <c r="Y984" s="1">
        <v>0</v>
      </c>
      <c r="Z984" s="1">
        <v>0</v>
      </c>
      <c r="AA984" s="1">
        <v>0</v>
      </c>
      <c r="AB984" s="1">
        <v>0</v>
      </c>
      <c r="AC984" s="1">
        <v>0</v>
      </c>
      <c r="AD984" s="1">
        <v>0</v>
      </c>
    </row>
    <row r="985" spans="1:30" s="20" customFormat="1" ht="36" customHeight="1" x14ac:dyDescent="0.25">
      <c r="A985" s="2">
        <f t="shared" si="490"/>
        <v>957</v>
      </c>
      <c r="B985" s="6">
        <f t="shared" si="491"/>
        <v>957</v>
      </c>
      <c r="C985" s="19" t="s">
        <v>567</v>
      </c>
      <c r="D985" s="4">
        <f t="shared" si="483"/>
        <v>2010675</v>
      </c>
      <c r="E985" s="1">
        <f t="shared" si="486"/>
        <v>822885</v>
      </c>
      <c r="F985" s="1">
        <v>0</v>
      </c>
      <c r="G985" s="1">
        <f>1693*322.7</f>
        <v>546331.1</v>
      </c>
      <c r="H985" s="1">
        <f>390*322.7</f>
        <v>125853</v>
      </c>
      <c r="I985" s="1">
        <v>0</v>
      </c>
      <c r="J985" s="1">
        <f>467*322.7</f>
        <v>150700.9</v>
      </c>
      <c r="K985" s="1">
        <v>0</v>
      </c>
      <c r="L985" s="2">
        <v>0</v>
      </c>
      <c r="M985" s="1">
        <f t="shared" si="487"/>
        <v>0</v>
      </c>
      <c r="N985" s="1">
        <v>0</v>
      </c>
      <c r="O985" s="1">
        <v>0</v>
      </c>
      <c r="P985" s="1">
        <v>0</v>
      </c>
      <c r="Q985" s="1">
        <f t="shared" si="484"/>
        <v>0</v>
      </c>
      <c r="R985" s="1">
        <v>290</v>
      </c>
      <c r="S985" s="1">
        <f t="shared" si="485"/>
        <v>1087790</v>
      </c>
      <c r="T985" s="1">
        <v>0</v>
      </c>
      <c r="U985" s="1">
        <v>50000</v>
      </c>
      <c r="V985" s="1">
        <v>0</v>
      </c>
      <c r="W985" s="1">
        <v>50000</v>
      </c>
      <c r="X985" s="1">
        <v>0</v>
      </c>
      <c r="Y985" s="1">
        <v>0</v>
      </c>
      <c r="Z985" s="1">
        <v>0</v>
      </c>
      <c r="AA985" s="1">
        <v>0</v>
      </c>
      <c r="AB985" s="1">
        <v>0</v>
      </c>
      <c r="AC985" s="1">
        <v>0</v>
      </c>
      <c r="AD985" s="1">
        <v>0</v>
      </c>
    </row>
    <row r="986" spans="1:30" s="20" customFormat="1" ht="36" customHeight="1" x14ac:dyDescent="0.25">
      <c r="A986" s="2">
        <f t="shared" si="490"/>
        <v>958</v>
      </c>
      <c r="B986" s="6">
        <f t="shared" si="491"/>
        <v>958</v>
      </c>
      <c r="C986" s="19" t="s">
        <v>568</v>
      </c>
      <c r="D986" s="4">
        <f t="shared" si="483"/>
        <v>2138020</v>
      </c>
      <c r="E986" s="1">
        <f t="shared" si="486"/>
        <v>800190</v>
      </c>
      <c r="F986" s="1">
        <v>0</v>
      </c>
      <c r="G986" s="1">
        <f>1693*313.8</f>
        <v>531263.4</v>
      </c>
      <c r="H986" s="1">
        <f>390*313.8</f>
        <v>122382</v>
      </c>
      <c r="I986" s="1">
        <v>0</v>
      </c>
      <c r="J986" s="1">
        <f>467*313.8</f>
        <v>146544.6</v>
      </c>
      <c r="K986" s="1">
        <v>0</v>
      </c>
      <c r="L986" s="2">
        <v>0</v>
      </c>
      <c r="M986" s="1">
        <f t="shared" si="487"/>
        <v>0</v>
      </c>
      <c r="N986" s="1">
        <v>0</v>
      </c>
      <c r="O986" s="1">
        <v>0</v>
      </c>
      <c r="P986" s="1">
        <v>0</v>
      </c>
      <c r="Q986" s="1">
        <f t="shared" si="484"/>
        <v>0</v>
      </c>
      <c r="R986" s="1">
        <v>330</v>
      </c>
      <c r="S986" s="1">
        <f t="shared" si="485"/>
        <v>1237830</v>
      </c>
      <c r="T986" s="1">
        <v>0</v>
      </c>
      <c r="U986" s="1">
        <v>50000</v>
      </c>
      <c r="V986" s="1">
        <v>0</v>
      </c>
      <c r="W986" s="1">
        <v>50000</v>
      </c>
      <c r="X986" s="1">
        <v>0</v>
      </c>
      <c r="Y986" s="1">
        <v>0</v>
      </c>
      <c r="Z986" s="1">
        <v>0</v>
      </c>
      <c r="AA986" s="1">
        <v>0</v>
      </c>
      <c r="AB986" s="1">
        <v>0</v>
      </c>
      <c r="AC986" s="1">
        <v>0</v>
      </c>
      <c r="AD986" s="1">
        <v>0</v>
      </c>
    </row>
    <row r="987" spans="1:30" s="20" customFormat="1" ht="36" customHeight="1" x14ac:dyDescent="0.25">
      <c r="A987" s="2">
        <f t="shared" si="490"/>
        <v>959</v>
      </c>
      <c r="B987" s="6">
        <f t="shared" si="491"/>
        <v>959</v>
      </c>
      <c r="C987" s="19" t="s">
        <v>569</v>
      </c>
      <c r="D987" s="4">
        <f t="shared" si="483"/>
        <v>2608750</v>
      </c>
      <c r="E987" s="1">
        <f t="shared" si="486"/>
        <v>1270920</v>
      </c>
      <c r="F987" s="1">
        <v>0</v>
      </c>
      <c r="G987" s="1">
        <f>1693*498.4</f>
        <v>843791.2</v>
      </c>
      <c r="H987" s="1">
        <f>390*498.4</f>
        <v>194376</v>
      </c>
      <c r="I987" s="1">
        <v>0</v>
      </c>
      <c r="J987" s="1">
        <f>467*498.4</f>
        <v>232752.8</v>
      </c>
      <c r="K987" s="1">
        <v>0</v>
      </c>
      <c r="L987" s="2">
        <v>0</v>
      </c>
      <c r="M987" s="1">
        <f t="shared" si="487"/>
        <v>0</v>
      </c>
      <c r="N987" s="1">
        <v>0</v>
      </c>
      <c r="O987" s="1">
        <v>0</v>
      </c>
      <c r="P987" s="1">
        <v>0</v>
      </c>
      <c r="Q987" s="1">
        <f t="shared" si="484"/>
        <v>0</v>
      </c>
      <c r="R987" s="1">
        <v>330</v>
      </c>
      <c r="S987" s="1">
        <f t="shared" si="485"/>
        <v>1237830</v>
      </c>
      <c r="T987" s="1">
        <v>0</v>
      </c>
      <c r="U987" s="1">
        <v>50000</v>
      </c>
      <c r="V987" s="1">
        <v>0</v>
      </c>
      <c r="W987" s="1">
        <v>50000</v>
      </c>
      <c r="X987" s="1">
        <v>0</v>
      </c>
      <c r="Y987" s="1">
        <v>0</v>
      </c>
      <c r="Z987" s="1">
        <v>0</v>
      </c>
      <c r="AA987" s="1">
        <v>0</v>
      </c>
      <c r="AB987" s="1">
        <v>0</v>
      </c>
      <c r="AC987" s="1">
        <v>0</v>
      </c>
      <c r="AD987" s="1">
        <v>0</v>
      </c>
    </row>
    <row r="988" spans="1:30" s="20" customFormat="1" ht="36" customHeight="1" x14ac:dyDescent="0.25">
      <c r="A988" s="2">
        <f t="shared" si="490"/>
        <v>960</v>
      </c>
      <c r="B988" s="6">
        <f t="shared" si="491"/>
        <v>960</v>
      </c>
      <c r="C988" s="19" t="s">
        <v>570</v>
      </c>
      <c r="D988" s="4">
        <f t="shared" si="483"/>
        <v>3296012.5</v>
      </c>
      <c r="E988" s="1">
        <f t="shared" si="486"/>
        <v>1958182.4999999998</v>
      </c>
      <c r="F988" s="1">
        <f>804*498.9</f>
        <v>401115.6</v>
      </c>
      <c r="G988" s="1">
        <f>1693*498.9</f>
        <v>844637.7</v>
      </c>
      <c r="H988" s="1">
        <f>390*498.9</f>
        <v>194571</v>
      </c>
      <c r="I988" s="1">
        <f>571*498.9</f>
        <v>284871.89999999997</v>
      </c>
      <c r="J988" s="1">
        <f>467*498.9</f>
        <v>232986.3</v>
      </c>
      <c r="K988" s="1">
        <v>0</v>
      </c>
      <c r="L988" s="2">
        <v>0</v>
      </c>
      <c r="M988" s="1">
        <f t="shared" si="487"/>
        <v>0</v>
      </c>
      <c r="N988" s="1">
        <v>0</v>
      </c>
      <c r="O988" s="1">
        <v>0</v>
      </c>
      <c r="P988" s="1">
        <v>0</v>
      </c>
      <c r="Q988" s="1">
        <f t="shared" si="484"/>
        <v>0</v>
      </c>
      <c r="R988" s="1">
        <v>330</v>
      </c>
      <c r="S988" s="1">
        <f t="shared" si="485"/>
        <v>1237830</v>
      </c>
      <c r="T988" s="1">
        <v>0</v>
      </c>
      <c r="U988" s="1">
        <v>50000</v>
      </c>
      <c r="V988" s="1">
        <v>0</v>
      </c>
      <c r="W988" s="1">
        <v>50000</v>
      </c>
      <c r="X988" s="1">
        <v>0</v>
      </c>
      <c r="Y988" s="1">
        <v>0</v>
      </c>
      <c r="Z988" s="1">
        <v>0</v>
      </c>
      <c r="AA988" s="1">
        <v>0</v>
      </c>
      <c r="AB988" s="1">
        <v>0</v>
      </c>
      <c r="AC988" s="1">
        <v>0</v>
      </c>
      <c r="AD988" s="1">
        <v>0</v>
      </c>
    </row>
    <row r="989" spans="1:30" s="20" customFormat="1" ht="36" customHeight="1" x14ac:dyDescent="0.25">
      <c r="A989" s="2">
        <f t="shared" si="490"/>
        <v>961</v>
      </c>
      <c r="B989" s="6">
        <f t="shared" si="491"/>
        <v>961</v>
      </c>
      <c r="C989" s="19" t="s">
        <v>571</v>
      </c>
      <c r="D989" s="4">
        <f t="shared" si="483"/>
        <v>2612498.5</v>
      </c>
      <c r="E989" s="1">
        <f t="shared" si="486"/>
        <v>1274668.5</v>
      </c>
      <c r="F989" s="1">
        <v>0</v>
      </c>
      <c r="G989" s="1">
        <f>1693*499.87</f>
        <v>846279.91</v>
      </c>
      <c r="H989" s="1">
        <f>390*499.87</f>
        <v>194949.3</v>
      </c>
      <c r="I989" s="1">
        <v>0</v>
      </c>
      <c r="J989" s="1">
        <f>467*499.87</f>
        <v>233439.29</v>
      </c>
      <c r="K989" s="1">
        <v>0</v>
      </c>
      <c r="L989" s="2">
        <v>0</v>
      </c>
      <c r="M989" s="1">
        <f t="shared" si="487"/>
        <v>0</v>
      </c>
      <c r="N989" s="1">
        <v>0</v>
      </c>
      <c r="O989" s="1">
        <v>0</v>
      </c>
      <c r="P989" s="1">
        <v>0</v>
      </c>
      <c r="Q989" s="1">
        <f t="shared" si="484"/>
        <v>0</v>
      </c>
      <c r="R989" s="1">
        <v>330</v>
      </c>
      <c r="S989" s="1">
        <f t="shared" si="485"/>
        <v>1237830</v>
      </c>
      <c r="T989" s="1">
        <v>0</v>
      </c>
      <c r="U989" s="1">
        <v>50000</v>
      </c>
      <c r="V989" s="1">
        <v>0</v>
      </c>
      <c r="W989" s="1">
        <v>50000</v>
      </c>
      <c r="X989" s="1">
        <v>0</v>
      </c>
      <c r="Y989" s="1">
        <v>0</v>
      </c>
      <c r="Z989" s="1">
        <v>0</v>
      </c>
      <c r="AA989" s="1">
        <v>0</v>
      </c>
      <c r="AB989" s="1">
        <v>0</v>
      </c>
      <c r="AC989" s="1">
        <v>0</v>
      </c>
      <c r="AD989" s="1">
        <v>0</v>
      </c>
    </row>
    <row r="990" spans="1:30" s="20" customFormat="1" ht="36" customHeight="1" x14ac:dyDescent="0.25">
      <c r="A990" s="2">
        <f t="shared" si="490"/>
        <v>962</v>
      </c>
      <c r="B990" s="6">
        <f t="shared" si="491"/>
        <v>962</v>
      </c>
      <c r="C990" s="19" t="s">
        <v>572</v>
      </c>
      <c r="D990" s="4">
        <f t="shared" si="483"/>
        <v>2622010</v>
      </c>
      <c r="E990" s="1">
        <f t="shared" si="486"/>
        <v>1284180</v>
      </c>
      <c r="F990" s="1">
        <v>0</v>
      </c>
      <c r="G990" s="1">
        <f>1693*503.6</f>
        <v>852594.8</v>
      </c>
      <c r="H990" s="1">
        <f>390*503.6</f>
        <v>196404</v>
      </c>
      <c r="I990" s="1">
        <v>0</v>
      </c>
      <c r="J990" s="1">
        <f>467*503.6</f>
        <v>235181.2</v>
      </c>
      <c r="K990" s="1">
        <v>0</v>
      </c>
      <c r="L990" s="2">
        <v>0</v>
      </c>
      <c r="M990" s="1">
        <f t="shared" si="487"/>
        <v>0</v>
      </c>
      <c r="N990" s="1">
        <v>0</v>
      </c>
      <c r="O990" s="1">
        <v>0</v>
      </c>
      <c r="P990" s="1">
        <v>0</v>
      </c>
      <c r="Q990" s="1">
        <f t="shared" si="484"/>
        <v>0</v>
      </c>
      <c r="R990" s="1">
        <v>330</v>
      </c>
      <c r="S990" s="1">
        <f t="shared" si="485"/>
        <v>1237830</v>
      </c>
      <c r="T990" s="1">
        <v>0</v>
      </c>
      <c r="U990" s="1">
        <v>50000</v>
      </c>
      <c r="V990" s="1">
        <v>0</v>
      </c>
      <c r="W990" s="1">
        <v>50000</v>
      </c>
      <c r="X990" s="1">
        <v>0</v>
      </c>
      <c r="Y990" s="1">
        <v>0</v>
      </c>
      <c r="Z990" s="1">
        <v>0</v>
      </c>
      <c r="AA990" s="1">
        <v>0</v>
      </c>
      <c r="AB990" s="1">
        <v>0</v>
      </c>
      <c r="AC990" s="1">
        <v>0</v>
      </c>
      <c r="AD990" s="1">
        <v>0</v>
      </c>
    </row>
    <row r="991" spans="1:30" s="20" customFormat="1" ht="36" customHeight="1" x14ac:dyDescent="0.25">
      <c r="A991" s="2">
        <f t="shared" si="490"/>
        <v>963</v>
      </c>
      <c r="B991" s="6">
        <f t="shared" si="491"/>
        <v>963</v>
      </c>
      <c r="C991" s="19" t="s">
        <v>573</v>
      </c>
      <c r="D991" s="4">
        <f t="shared" si="483"/>
        <v>2557750</v>
      </c>
      <c r="E991" s="1">
        <f t="shared" si="486"/>
        <v>1219920</v>
      </c>
      <c r="F991" s="1">
        <v>0</v>
      </c>
      <c r="G991" s="1">
        <f>1693*478.4</f>
        <v>809931.2</v>
      </c>
      <c r="H991" s="1">
        <f>390*478.4</f>
        <v>186576</v>
      </c>
      <c r="I991" s="1">
        <v>0</v>
      </c>
      <c r="J991" s="1">
        <f>467*478.4</f>
        <v>223412.8</v>
      </c>
      <c r="K991" s="1">
        <v>0</v>
      </c>
      <c r="L991" s="2">
        <v>0</v>
      </c>
      <c r="M991" s="1">
        <f t="shared" si="487"/>
        <v>0</v>
      </c>
      <c r="N991" s="1">
        <v>0</v>
      </c>
      <c r="O991" s="1">
        <v>0</v>
      </c>
      <c r="P991" s="1">
        <v>0</v>
      </c>
      <c r="Q991" s="1">
        <f t="shared" si="484"/>
        <v>0</v>
      </c>
      <c r="R991" s="1">
        <v>330</v>
      </c>
      <c r="S991" s="1">
        <f t="shared" si="485"/>
        <v>1237830</v>
      </c>
      <c r="T991" s="1">
        <v>0</v>
      </c>
      <c r="U991" s="1">
        <v>50000</v>
      </c>
      <c r="V991" s="1">
        <v>0</v>
      </c>
      <c r="W991" s="1">
        <v>50000</v>
      </c>
      <c r="X991" s="1">
        <v>0</v>
      </c>
      <c r="Y991" s="1">
        <v>0</v>
      </c>
      <c r="Z991" s="1">
        <v>0</v>
      </c>
      <c r="AA991" s="1">
        <v>0</v>
      </c>
      <c r="AB991" s="1">
        <v>0</v>
      </c>
      <c r="AC991" s="1">
        <v>0</v>
      </c>
      <c r="AD991" s="1">
        <v>0</v>
      </c>
    </row>
    <row r="992" spans="1:30" s="20" customFormat="1" ht="36" customHeight="1" x14ac:dyDescent="0.25">
      <c r="A992" s="2">
        <f t="shared" si="490"/>
        <v>964</v>
      </c>
      <c r="B992" s="6">
        <f t="shared" si="491"/>
        <v>964</v>
      </c>
      <c r="C992" s="19" t="s">
        <v>574</v>
      </c>
      <c r="D992" s="4">
        <f t="shared" si="483"/>
        <v>3325057.5</v>
      </c>
      <c r="E992" s="1">
        <f t="shared" si="486"/>
        <v>1987227.5000000002</v>
      </c>
      <c r="F992" s="1">
        <f>804*506.3</f>
        <v>407065.2</v>
      </c>
      <c r="G992" s="1">
        <f>1693*506.3</f>
        <v>857165.9</v>
      </c>
      <c r="H992" s="1">
        <f>390*506.3</f>
        <v>197457</v>
      </c>
      <c r="I992" s="1">
        <f>571*506.3</f>
        <v>289097.3</v>
      </c>
      <c r="J992" s="1">
        <f>467*506.3</f>
        <v>236442.1</v>
      </c>
      <c r="K992" s="1">
        <v>0</v>
      </c>
      <c r="L992" s="2">
        <v>0</v>
      </c>
      <c r="M992" s="1">
        <f t="shared" si="487"/>
        <v>0</v>
      </c>
      <c r="N992" s="1">
        <v>0</v>
      </c>
      <c r="O992" s="1">
        <v>0</v>
      </c>
      <c r="P992" s="1">
        <v>0</v>
      </c>
      <c r="Q992" s="1">
        <f t="shared" si="484"/>
        <v>0</v>
      </c>
      <c r="R992" s="1">
        <v>330</v>
      </c>
      <c r="S992" s="1">
        <f t="shared" si="485"/>
        <v>1237830</v>
      </c>
      <c r="T992" s="1">
        <v>0</v>
      </c>
      <c r="U992" s="1">
        <v>50000</v>
      </c>
      <c r="V992" s="1">
        <v>0</v>
      </c>
      <c r="W992" s="1">
        <v>50000</v>
      </c>
      <c r="X992" s="1">
        <v>0</v>
      </c>
      <c r="Y992" s="1">
        <v>0</v>
      </c>
      <c r="Z992" s="1">
        <v>0</v>
      </c>
      <c r="AA992" s="1">
        <v>0</v>
      </c>
      <c r="AB992" s="1">
        <v>0</v>
      </c>
      <c r="AC992" s="1">
        <v>0</v>
      </c>
      <c r="AD992" s="1">
        <v>0</v>
      </c>
    </row>
    <row r="993" spans="1:30" s="20" customFormat="1" ht="36" customHeight="1" x14ac:dyDescent="0.25">
      <c r="A993" s="2">
        <f t="shared" si="490"/>
        <v>965</v>
      </c>
      <c r="B993" s="6">
        <f>A993</f>
        <v>965</v>
      </c>
      <c r="C993" s="19" t="s">
        <v>575</v>
      </c>
      <c r="D993" s="4">
        <f t="shared" ref="D993:D1017" si="492">E993+M993+O993+Q993+S993+T993+U993+V993+W993+X993+Z993+AA993+AB993+AC993+AD993</f>
        <v>3019771</v>
      </c>
      <c r="E993" s="1">
        <f>SUM(F993:K993)</f>
        <v>1681941</v>
      </c>
      <c r="F993" s="1">
        <f>804*428.52</f>
        <v>344530.07999999996</v>
      </c>
      <c r="G993" s="1">
        <f>1693*428.52</f>
        <v>725484.36</v>
      </c>
      <c r="H993" s="1">
        <f>390*428.52</f>
        <v>167122.79999999999</v>
      </c>
      <c r="I993" s="1">
        <f>571*428.52</f>
        <v>244684.91999999998</v>
      </c>
      <c r="J993" s="1">
        <f>467*428.52</f>
        <v>200118.84</v>
      </c>
      <c r="K993" s="1">
        <v>0</v>
      </c>
      <c r="L993" s="2">
        <v>0</v>
      </c>
      <c r="M993" s="1">
        <f t="shared" si="487"/>
        <v>0</v>
      </c>
      <c r="N993" s="1">
        <v>0</v>
      </c>
      <c r="O993" s="1">
        <v>0</v>
      </c>
      <c r="P993" s="1">
        <v>0</v>
      </c>
      <c r="Q993" s="1">
        <f>P993*1400</f>
        <v>0</v>
      </c>
      <c r="R993" s="1">
        <v>330</v>
      </c>
      <c r="S993" s="1">
        <f>R993*3751</f>
        <v>1237830</v>
      </c>
      <c r="T993" s="1">
        <v>0</v>
      </c>
      <c r="U993" s="1">
        <v>50000</v>
      </c>
      <c r="V993" s="1">
        <v>0</v>
      </c>
      <c r="W993" s="1">
        <v>50000</v>
      </c>
      <c r="X993" s="1">
        <v>0</v>
      </c>
      <c r="Y993" s="1">
        <v>0</v>
      </c>
      <c r="Z993" s="1">
        <v>0</v>
      </c>
      <c r="AA993" s="1">
        <v>0</v>
      </c>
      <c r="AB993" s="1">
        <v>0</v>
      </c>
      <c r="AC993" s="1">
        <v>0</v>
      </c>
      <c r="AD993" s="1">
        <v>0</v>
      </c>
    </row>
    <row r="994" spans="1:30" s="20" customFormat="1" ht="36" customHeight="1" x14ac:dyDescent="0.25">
      <c r="A994" s="2">
        <f t="shared" si="490"/>
        <v>966</v>
      </c>
      <c r="B994" s="6">
        <f t="shared" si="491"/>
        <v>966</v>
      </c>
      <c r="C994" s="19" t="s">
        <v>1764</v>
      </c>
      <c r="D994" s="4">
        <f t="shared" si="492"/>
        <v>3783019.48</v>
      </c>
      <c r="E994" s="1">
        <f t="shared" si="486"/>
        <v>3683019.48</v>
      </c>
      <c r="F994" s="1">
        <f>804*4580.87</f>
        <v>3683019.48</v>
      </c>
      <c r="G994" s="1">
        <v>0</v>
      </c>
      <c r="H994" s="1">
        <v>0</v>
      </c>
      <c r="I994" s="1">
        <v>0</v>
      </c>
      <c r="J994" s="1">
        <v>0</v>
      </c>
      <c r="K994" s="1">
        <v>0</v>
      </c>
      <c r="L994" s="2">
        <v>0</v>
      </c>
      <c r="M994" s="1">
        <f t="shared" si="487"/>
        <v>0</v>
      </c>
      <c r="N994" s="1">
        <v>0</v>
      </c>
      <c r="O994" s="1">
        <v>0</v>
      </c>
      <c r="P994" s="1">
        <v>0</v>
      </c>
      <c r="Q994" s="1">
        <f t="shared" si="484"/>
        <v>0</v>
      </c>
      <c r="R994" s="1">
        <v>0</v>
      </c>
      <c r="S994" s="1">
        <f t="shared" si="485"/>
        <v>0</v>
      </c>
      <c r="T994" s="1">
        <v>0</v>
      </c>
      <c r="U994" s="1">
        <v>100000</v>
      </c>
      <c r="V994" s="1">
        <v>0</v>
      </c>
      <c r="W994" s="1">
        <v>0</v>
      </c>
      <c r="X994" s="1">
        <v>0</v>
      </c>
      <c r="Y994" s="1">
        <v>0</v>
      </c>
      <c r="Z994" s="1">
        <v>0</v>
      </c>
      <c r="AA994" s="1">
        <v>0</v>
      </c>
      <c r="AB994" s="1">
        <v>0</v>
      </c>
      <c r="AC994" s="1">
        <v>0</v>
      </c>
      <c r="AD994" s="1">
        <v>0</v>
      </c>
    </row>
    <row r="995" spans="1:30" s="20" customFormat="1" ht="36" customHeight="1" x14ac:dyDescent="0.25">
      <c r="A995" s="2">
        <f t="shared" si="490"/>
        <v>967</v>
      </c>
      <c r="B995" s="6">
        <f t="shared" si="491"/>
        <v>967</v>
      </c>
      <c r="C995" s="19" t="s">
        <v>576</v>
      </c>
      <c r="D995" s="4">
        <f t="shared" si="492"/>
        <v>3358250</v>
      </c>
      <c r="E995" s="1">
        <f t="shared" si="486"/>
        <v>1982909.9999999998</v>
      </c>
      <c r="F995" s="1">
        <f>804*505.2</f>
        <v>406180.8</v>
      </c>
      <c r="G995" s="1">
        <f>1693*505.2</f>
        <v>855303.6</v>
      </c>
      <c r="H995" s="1">
        <f>390*505.2</f>
        <v>197028</v>
      </c>
      <c r="I995" s="1">
        <f>571*505.2</f>
        <v>288469.2</v>
      </c>
      <c r="J995" s="1">
        <f>467*505.2</f>
        <v>235928.4</v>
      </c>
      <c r="K995" s="1">
        <v>0</v>
      </c>
      <c r="L995" s="2">
        <v>0</v>
      </c>
      <c r="M995" s="1">
        <f t="shared" si="487"/>
        <v>0</v>
      </c>
      <c r="N995" s="1">
        <v>0</v>
      </c>
      <c r="O995" s="1">
        <v>0</v>
      </c>
      <c r="P995" s="1">
        <v>0</v>
      </c>
      <c r="Q995" s="1">
        <f t="shared" si="484"/>
        <v>0</v>
      </c>
      <c r="R995" s="1">
        <v>340</v>
      </c>
      <c r="S995" s="1">
        <f t="shared" si="485"/>
        <v>1275340</v>
      </c>
      <c r="T995" s="1">
        <v>0</v>
      </c>
      <c r="U995" s="1">
        <v>50000</v>
      </c>
      <c r="V995" s="1">
        <v>0</v>
      </c>
      <c r="W995" s="1">
        <v>50000</v>
      </c>
      <c r="X995" s="1">
        <v>0</v>
      </c>
      <c r="Y995" s="1">
        <v>0</v>
      </c>
      <c r="Z995" s="1">
        <v>0</v>
      </c>
      <c r="AA995" s="1">
        <v>0</v>
      </c>
      <c r="AB995" s="1">
        <v>0</v>
      </c>
      <c r="AC995" s="1">
        <v>0</v>
      </c>
      <c r="AD995" s="1">
        <v>0</v>
      </c>
    </row>
    <row r="996" spans="1:30" s="20" customFormat="1" ht="36" customHeight="1" x14ac:dyDescent="0.25">
      <c r="A996" s="2">
        <f t="shared" si="490"/>
        <v>968</v>
      </c>
      <c r="B996" s="6">
        <f t="shared" si="491"/>
        <v>968</v>
      </c>
      <c r="C996" s="19" t="s">
        <v>577</v>
      </c>
      <c r="D996" s="4">
        <f t="shared" si="492"/>
        <v>4250847.5</v>
      </c>
      <c r="E996" s="1">
        <f t="shared" si="486"/>
        <v>2800487.5</v>
      </c>
      <c r="F996" s="1">
        <f>804*713.5</f>
        <v>573654</v>
      </c>
      <c r="G996" s="1">
        <f>1693*713.5</f>
        <v>1207955.5</v>
      </c>
      <c r="H996" s="1">
        <f>390*713.5</f>
        <v>278265</v>
      </c>
      <c r="I996" s="1">
        <f>571*713.5</f>
        <v>407408.5</v>
      </c>
      <c r="J996" s="1">
        <f>467*713.5</f>
        <v>333204.5</v>
      </c>
      <c r="K996" s="1">
        <v>0</v>
      </c>
      <c r="L996" s="2">
        <v>0</v>
      </c>
      <c r="M996" s="1">
        <f t="shared" si="487"/>
        <v>0</v>
      </c>
      <c r="N996" s="1">
        <v>0</v>
      </c>
      <c r="O996" s="1">
        <v>0</v>
      </c>
      <c r="P996" s="1">
        <v>0</v>
      </c>
      <c r="Q996" s="1">
        <f t="shared" si="484"/>
        <v>0</v>
      </c>
      <c r="R996" s="1">
        <v>360</v>
      </c>
      <c r="S996" s="1">
        <f t="shared" si="485"/>
        <v>1350360</v>
      </c>
      <c r="T996" s="1">
        <v>0</v>
      </c>
      <c r="U996" s="1">
        <v>50000</v>
      </c>
      <c r="V996" s="1">
        <v>0</v>
      </c>
      <c r="W996" s="1">
        <v>50000</v>
      </c>
      <c r="X996" s="1">
        <v>0</v>
      </c>
      <c r="Y996" s="1">
        <v>0</v>
      </c>
      <c r="Z996" s="1">
        <v>0</v>
      </c>
      <c r="AA996" s="1">
        <v>0</v>
      </c>
      <c r="AB996" s="1">
        <v>0</v>
      </c>
      <c r="AC996" s="1">
        <v>0</v>
      </c>
      <c r="AD996" s="1">
        <v>0</v>
      </c>
    </row>
    <row r="997" spans="1:30" s="20" customFormat="1" ht="36" customHeight="1" x14ac:dyDescent="0.25">
      <c r="A997" s="2">
        <f t="shared" si="490"/>
        <v>969</v>
      </c>
      <c r="B997" s="6">
        <f t="shared" si="491"/>
        <v>969</v>
      </c>
      <c r="C997" s="19" t="s">
        <v>578</v>
      </c>
      <c r="D997" s="4">
        <f t="shared" si="492"/>
        <v>3414037.5</v>
      </c>
      <c r="E997" s="1">
        <f t="shared" si="486"/>
        <v>1963677.5000000002</v>
      </c>
      <c r="F997" s="1">
        <f>804*500.3</f>
        <v>402241.2</v>
      </c>
      <c r="G997" s="1">
        <f>1693*500.3</f>
        <v>847007.9</v>
      </c>
      <c r="H997" s="1">
        <f>390*500.3</f>
        <v>195117</v>
      </c>
      <c r="I997" s="1">
        <f>571*500.3</f>
        <v>285671.3</v>
      </c>
      <c r="J997" s="1">
        <f>467*500.3</f>
        <v>233640.1</v>
      </c>
      <c r="K997" s="1">
        <v>0</v>
      </c>
      <c r="L997" s="2">
        <v>0</v>
      </c>
      <c r="M997" s="1">
        <f t="shared" si="487"/>
        <v>0</v>
      </c>
      <c r="N997" s="1">
        <v>0</v>
      </c>
      <c r="O997" s="1">
        <v>0</v>
      </c>
      <c r="P997" s="1">
        <v>0</v>
      </c>
      <c r="Q997" s="1">
        <f t="shared" si="484"/>
        <v>0</v>
      </c>
      <c r="R997" s="1">
        <v>360</v>
      </c>
      <c r="S997" s="1">
        <f t="shared" si="485"/>
        <v>1350360</v>
      </c>
      <c r="T997" s="1">
        <v>0</v>
      </c>
      <c r="U997" s="1">
        <v>50000</v>
      </c>
      <c r="V997" s="1">
        <v>0</v>
      </c>
      <c r="W997" s="1">
        <v>50000</v>
      </c>
      <c r="X997" s="1">
        <v>0</v>
      </c>
      <c r="Y997" s="1">
        <v>0</v>
      </c>
      <c r="Z997" s="1">
        <v>0</v>
      </c>
      <c r="AA997" s="1">
        <v>0</v>
      </c>
      <c r="AB997" s="1">
        <v>0</v>
      </c>
      <c r="AC997" s="1">
        <v>0</v>
      </c>
      <c r="AD997" s="1">
        <v>0</v>
      </c>
    </row>
    <row r="998" spans="1:30" s="20" customFormat="1" ht="36" customHeight="1" x14ac:dyDescent="0.25">
      <c r="A998" s="2">
        <f t="shared" si="490"/>
        <v>970</v>
      </c>
      <c r="B998" s="6">
        <f t="shared" si="491"/>
        <v>970</v>
      </c>
      <c r="C998" s="19" t="s">
        <v>579</v>
      </c>
      <c r="D998" s="4">
        <f t="shared" si="492"/>
        <v>5353970</v>
      </c>
      <c r="E998" s="1">
        <f t="shared" si="486"/>
        <v>3340960.0000000005</v>
      </c>
      <c r="F998" s="1">
        <f>804*851.2</f>
        <v>684364.80000000005</v>
      </c>
      <c r="G998" s="1">
        <f>1693*851.2</f>
        <v>1441081.6</v>
      </c>
      <c r="H998" s="1">
        <f>390*851.2</f>
        <v>331968</v>
      </c>
      <c r="I998" s="1">
        <f>571*851.2</f>
        <v>486035.20000000001</v>
      </c>
      <c r="J998" s="1">
        <f>467*851.2</f>
        <v>397510.40000000002</v>
      </c>
      <c r="K998" s="1">
        <v>0</v>
      </c>
      <c r="L998" s="2">
        <v>0</v>
      </c>
      <c r="M998" s="1">
        <f t="shared" si="487"/>
        <v>0</v>
      </c>
      <c r="N998" s="1">
        <v>0</v>
      </c>
      <c r="O998" s="1">
        <v>0</v>
      </c>
      <c r="P998" s="1">
        <v>0</v>
      </c>
      <c r="Q998" s="1">
        <f t="shared" si="484"/>
        <v>0</v>
      </c>
      <c r="R998" s="1">
        <v>510</v>
      </c>
      <c r="S998" s="1">
        <f t="shared" si="485"/>
        <v>1913010</v>
      </c>
      <c r="T998" s="1">
        <v>0</v>
      </c>
      <c r="U998" s="1">
        <v>50000</v>
      </c>
      <c r="V998" s="1">
        <v>0</v>
      </c>
      <c r="W998" s="1">
        <v>50000</v>
      </c>
      <c r="X998" s="1">
        <v>0</v>
      </c>
      <c r="Y998" s="1">
        <v>0</v>
      </c>
      <c r="Z998" s="1">
        <v>0</v>
      </c>
      <c r="AA998" s="1">
        <v>0</v>
      </c>
      <c r="AB998" s="1">
        <v>0</v>
      </c>
      <c r="AC998" s="1">
        <v>0</v>
      </c>
      <c r="AD998" s="1">
        <v>0</v>
      </c>
    </row>
    <row r="999" spans="1:30" s="20" customFormat="1" ht="36" customHeight="1" x14ac:dyDescent="0.25">
      <c r="A999" s="2">
        <f t="shared" si="490"/>
        <v>971</v>
      </c>
      <c r="B999" s="6">
        <f>A999</f>
        <v>971</v>
      </c>
      <c r="C999" s="19" t="s">
        <v>582</v>
      </c>
      <c r="D999" s="4">
        <f t="shared" si="492"/>
        <v>6035284.75</v>
      </c>
      <c r="E999" s="1">
        <f>SUM(F999:K999)</f>
        <v>3947254.7499999995</v>
      </c>
      <c r="F999" s="1">
        <f>804*1005.67</f>
        <v>808558.67999999993</v>
      </c>
      <c r="G999" s="1">
        <f>1693*1005.67</f>
        <v>1702599.3099999998</v>
      </c>
      <c r="H999" s="1">
        <f>390*1005.67</f>
        <v>392211.3</v>
      </c>
      <c r="I999" s="1">
        <f>571*1005.67</f>
        <v>574237.56999999995</v>
      </c>
      <c r="J999" s="1">
        <f>467*1005.67</f>
        <v>469647.88999999996</v>
      </c>
      <c r="K999" s="1">
        <v>0</v>
      </c>
      <c r="L999" s="2">
        <v>0</v>
      </c>
      <c r="M999" s="1">
        <f>L999*3500000</f>
        <v>0</v>
      </c>
      <c r="N999" s="1">
        <v>0</v>
      </c>
      <c r="O999" s="1">
        <v>0</v>
      </c>
      <c r="P999" s="1">
        <v>0</v>
      </c>
      <c r="Q999" s="1">
        <f>P999*1400</f>
        <v>0</v>
      </c>
      <c r="R999" s="1">
        <v>530</v>
      </c>
      <c r="S999" s="1">
        <f>R999*3751</f>
        <v>1988030</v>
      </c>
      <c r="T999" s="1">
        <v>0</v>
      </c>
      <c r="U999" s="1">
        <v>50000</v>
      </c>
      <c r="V999" s="1">
        <v>0</v>
      </c>
      <c r="W999" s="1">
        <v>50000</v>
      </c>
      <c r="X999" s="1">
        <v>0</v>
      </c>
      <c r="Y999" s="1">
        <v>0</v>
      </c>
      <c r="Z999" s="1">
        <v>0</v>
      </c>
      <c r="AA999" s="1">
        <v>0</v>
      </c>
      <c r="AB999" s="1">
        <v>0</v>
      </c>
      <c r="AC999" s="1">
        <v>0</v>
      </c>
      <c r="AD999" s="1">
        <v>0</v>
      </c>
    </row>
    <row r="1000" spans="1:30" s="20" customFormat="1" ht="36" customHeight="1" x14ac:dyDescent="0.25">
      <c r="A1000" s="2">
        <f t="shared" si="490"/>
        <v>972</v>
      </c>
      <c r="B1000" s="6">
        <f t="shared" si="491"/>
        <v>972</v>
      </c>
      <c r="C1000" s="19" t="s">
        <v>580</v>
      </c>
      <c r="D1000" s="4">
        <f t="shared" si="492"/>
        <v>4936336.25</v>
      </c>
      <c r="E1000" s="1">
        <f t="shared" si="486"/>
        <v>3223406.25</v>
      </c>
      <c r="F1000" s="1">
        <f>804*821.25</f>
        <v>660285</v>
      </c>
      <c r="G1000" s="1">
        <f>1693*821.25</f>
        <v>1390376.25</v>
      </c>
      <c r="H1000" s="1">
        <f>390*821.25</f>
        <v>320287.5</v>
      </c>
      <c r="I1000" s="1">
        <f>571*821.25</f>
        <v>468933.75</v>
      </c>
      <c r="J1000" s="1">
        <f>467*821.25</f>
        <v>383523.75</v>
      </c>
      <c r="K1000" s="1">
        <v>0</v>
      </c>
      <c r="L1000" s="2">
        <v>0</v>
      </c>
      <c r="M1000" s="1">
        <f t="shared" si="487"/>
        <v>0</v>
      </c>
      <c r="N1000" s="1">
        <v>0</v>
      </c>
      <c r="O1000" s="1">
        <v>0</v>
      </c>
      <c r="P1000" s="1">
        <v>0</v>
      </c>
      <c r="Q1000" s="1">
        <f t="shared" si="484"/>
        <v>0</v>
      </c>
      <c r="R1000" s="1">
        <v>430</v>
      </c>
      <c r="S1000" s="1">
        <f t="shared" si="485"/>
        <v>1612930</v>
      </c>
      <c r="T1000" s="1">
        <v>0</v>
      </c>
      <c r="U1000" s="1">
        <v>50000</v>
      </c>
      <c r="V1000" s="1">
        <v>0</v>
      </c>
      <c r="W1000" s="1">
        <v>50000</v>
      </c>
      <c r="X1000" s="1">
        <v>0</v>
      </c>
      <c r="Y1000" s="1">
        <v>0</v>
      </c>
      <c r="Z1000" s="1">
        <v>0</v>
      </c>
      <c r="AA1000" s="1">
        <v>0</v>
      </c>
      <c r="AB1000" s="1">
        <v>0</v>
      </c>
      <c r="AC1000" s="1">
        <v>0</v>
      </c>
      <c r="AD1000" s="1">
        <v>0</v>
      </c>
    </row>
    <row r="1001" spans="1:30" s="20" customFormat="1" ht="36" customHeight="1" x14ac:dyDescent="0.25">
      <c r="A1001" s="2">
        <f t="shared" si="490"/>
        <v>973</v>
      </c>
      <c r="B1001" s="6">
        <f t="shared" si="491"/>
        <v>973</v>
      </c>
      <c r="C1001" s="19" t="s">
        <v>581</v>
      </c>
      <c r="D1001" s="4">
        <f t="shared" si="492"/>
        <v>5124592.5</v>
      </c>
      <c r="E1001" s="1">
        <f t="shared" si="486"/>
        <v>3336642.5000000005</v>
      </c>
      <c r="F1001" s="1">
        <f>804*850.1</f>
        <v>683480.4</v>
      </c>
      <c r="G1001" s="1">
        <f>1693*850.1</f>
        <v>1439219.3</v>
      </c>
      <c r="H1001" s="1">
        <f>390*850.1</f>
        <v>331539</v>
      </c>
      <c r="I1001" s="1">
        <f>571*850.1</f>
        <v>485407.10000000003</v>
      </c>
      <c r="J1001" s="1">
        <f>467*850.1</f>
        <v>396996.7</v>
      </c>
      <c r="K1001" s="1">
        <v>0</v>
      </c>
      <c r="L1001" s="2">
        <v>0</v>
      </c>
      <c r="M1001" s="1">
        <f t="shared" si="487"/>
        <v>0</v>
      </c>
      <c r="N1001" s="1">
        <v>0</v>
      </c>
      <c r="O1001" s="1">
        <v>0</v>
      </c>
      <c r="P1001" s="1">
        <v>0</v>
      </c>
      <c r="Q1001" s="1">
        <f t="shared" si="484"/>
        <v>0</v>
      </c>
      <c r="R1001" s="1">
        <v>450</v>
      </c>
      <c r="S1001" s="1">
        <f t="shared" si="485"/>
        <v>1687950</v>
      </c>
      <c r="T1001" s="1">
        <v>0</v>
      </c>
      <c r="U1001" s="1">
        <v>50000</v>
      </c>
      <c r="V1001" s="1">
        <v>0</v>
      </c>
      <c r="W1001" s="1">
        <v>50000</v>
      </c>
      <c r="X1001" s="1">
        <v>0</v>
      </c>
      <c r="Y1001" s="1">
        <v>0</v>
      </c>
      <c r="Z1001" s="1">
        <v>0</v>
      </c>
      <c r="AA1001" s="1">
        <v>0</v>
      </c>
      <c r="AB1001" s="1">
        <v>0</v>
      </c>
      <c r="AC1001" s="1">
        <v>0</v>
      </c>
      <c r="AD1001" s="1">
        <v>0</v>
      </c>
    </row>
    <row r="1002" spans="1:30" s="20" customFormat="1" ht="36" customHeight="1" x14ac:dyDescent="0.25">
      <c r="A1002" s="2">
        <f t="shared" si="490"/>
        <v>974</v>
      </c>
      <c r="B1002" s="6">
        <f>A1002</f>
        <v>974</v>
      </c>
      <c r="C1002" s="19" t="s">
        <v>2380</v>
      </c>
      <c r="D1002" s="4">
        <f t="shared" si="492"/>
        <v>24700000</v>
      </c>
      <c r="E1002" s="1">
        <f>SUM(F1002:K1002)</f>
        <v>0</v>
      </c>
      <c r="F1002" s="1">
        <v>0</v>
      </c>
      <c r="G1002" s="1">
        <v>0</v>
      </c>
      <c r="H1002" s="1">
        <v>0</v>
      </c>
      <c r="I1002" s="1">
        <v>0</v>
      </c>
      <c r="J1002" s="1">
        <v>0</v>
      </c>
      <c r="K1002" s="1">
        <v>0</v>
      </c>
      <c r="L1002" s="2">
        <v>7</v>
      </c>
      <c r="M1002" s="1">
        <f>L1002*3500000</f>
        <v>24500000</v>
      </c>
      <c r="N1002" s="1">
        <v>0</v>
      </c>
      <c r="O1002" s="1">
        <v>0</v>
      </c>
      <c r="P1002" s="1">
        <v>0</v>
      </c>
      <c r="Q1002" s="1">
        <f>P1002*1400</f>
        <v>0</v>
      </c>
      <c r="R1002" s="1">
        <v>0</v>
      </c>
      <c r="S1002" s="1">
        <f>R1002*3751</f>
        <v>0</v>
      </c>
      <c r="T1002" s="1">
        <v>0</v>
      </c>
      <c r="U1002" s="1">
        <v>200000</v>
      </c>
      <c r="V1002" s="1">
        <v>0</v>
      </c>
      <c r="W1002" s="1">
        <v>0</v>
      </c>
      <c r="X1002" s="1">
        <v>0</v>
      </c>
      <c r="Y1002" s="1">
        <v>0</v>
      </c>
      <c r="Z1002" s="1">
        <v>0</v>
      </c>
      <c r="AA1002" s="1">
        <v>0</v>
      </c>
      <c r="AB1002" s="1">
        <v>0</v>
      </c>
      <c r="AC1002" s="1">
        <v>0</v>
      </c>
      <c r="AD1002" s="1">
        <v>0</v>
      </c>
    </row>
    <row r="1003" spans="1:30" s="20" customFormat="1" ht="36" customHeight="1" x14ac:dyDescent="0.25">
      <c r="A1003" s="2">
        <f t="shared" si="490"/>
        <v>975</v>
      </c>
      <c r="B1003" s="6">
        <f>A1003</f>
        <v>975</v>
      </c>
      <c r="C1003" s="19" t="s">
        <v>2381</v>
      </c>
      <c r="D1003" s="4">
        <f t="shared" si="492"/>
        <v>3700000</v>
      </c>
      <c r="E1003" s="1">
        <f>SUM(F1003:K1003)</f>
        <v>0</v>
      </c>
      <c r="F1003" s="1">
        <v>0</v>
      </c>
      <c r="G1003" s="1">
        <v>0</v>
      </c>
      <c r="H1003" s="1">
        <v>0</v>
      </c>
      <c r="I1003" s="1">
        <v>0</v>
      </c>
      <c r="J1003" s="1">
        <v>0</v>
      </c>
      <c r="K1003" s="1">
        <v>0</v>
      </c>
      <c r="L1003" s="2">
        <v>1</v>
      </c>
      <c r="M1003" s="1">
        <f>L1003*3500000</f>
        <v>3500000</v>
      </c>
      <c r="N1003" s="1">
        <v>0</v>
      </c>
      <c r="O1003" s="1">
        <v>0</v>
      </c>
      <c r="P1003" s="1">
        <v>0</v>
      </c>
      <c r="Q1003" s="1">
        <f>P1003*1400</f>
        <v>0</v>
      </c>
      <c r="R1003" s="1">
        <v>0</v>
      </c>
      <c r="S1003" s="1">
        <f>R1003*3751</f>
        <v>0</v>
      </c>
      <c r="T1003" s="1">
        <v>0</v>
      </c>
      <c r="U1003" s="1">
        <v>200000</v>
      </c>
      <c r="V1003" s="1">
        <v>0</v>
      </c>
      <c r="W1003" s="1">
        <v>0</v>
      </c>
      <c r="X1003" s="1">
        <v>0</v>
      </c>
      <c r="Y1003" s="1">
        <v>0</v>
      </c>
      <c r="Z1003" s="1">
        <v>0</v>
      </c>
      <c r="AA1003" s="1">
        <v>0</v>
      </c>
      <c r="AB1003" s="1">
        <v>0</v>
      </c>
      <c r="AC1003" s="1">
        <v>0</v>
      </c>
      <c r="AD1003" s="1">
        <v>0</v>
      </c>
    </row>
    <row r="1004" spans="1:30" s="20" customFormat="1" ht="36" customHeight="1" x14ac:dyDescent="0.25">
      <c r="A1004" s="2">
        <f t="shared" si="490"/>
        <v>976</v>
      </c>
      <c r="B1004" s="6">
        <f t="shared" si="491"/>
        <v>976</v>
      </c>
      <c r="C1004" s="19" t="s">
        <v>1067</v>
      </c>
      <c r="D1004" s="4">
        <f t="shared" si="492"/>
        <v>27360658.5</v>
      </c>
      <c r="E1004" s="1">
        <f t="shared" si="486"/>
        <v>13999768.500000002</v>
      </c>
      <c r="F1004" s="1">
        <f>804*3566.82</f>
        <v>2867723.2800000003</v>
      </c>
      <c r="G1004" s="1">
        <f>1693*3566.82</f>
        <v>6038626.2600000007</v>
      </c>
      <c r="H1004" s="1">
        <f>390*3566.82</f>
        <v>1391059.8</v>
      </c>
      <c r="I1004" s="1">
        <f>571*3566.82</f>
        <v>2036654.2200000002</v>
      </c>
      <c r="J1004" s="1">
        <f>467*3566.82</f>
        <v>1665704.9400000002</v>
      </c>
      <c r="K1004" s="1">
        <v>0</v>
      </c>
      <c r="L1004" s="2">
        <v>0</v>
      </c>
      <c r="M1004" s="1">
        <v>0</v>
      </c>
      <c r="N1004" s="1">
        <v>905</v>
      </c>
      <c r="O1004" s="1">
        <f>N1004*4968</f>
        <v>4496040</v>
      </c>
      <c r="P1004" s="1">
        <v>0</v>
      </c>
      <c r="Q1004" s="1">
        <f t="shared" si="484"/>
        <v>0</v>
      </c>
      <c r="R1004" s="1">
        <v>2350</v>
      </c>
      <c r="S1004" s="1">
        <f t="shared" si="485"/>
        <v>8814850</v>
      </c>
      <c r="T1004" s="1">
        <v>0</v>
      </c>
      <c r="U1004" s="1">
        <v>50000</v>
      </c>
      <c r="V1004" s="1">
        <v>0</v>
      </c>
      <c r="W1004" s="1">
        <v>0</v>
      </c>
      <c r="X1004" s="1">
        <v>0</v>
      </c>
      <c r="Y1004" s="1">
        <v>0</v>
      </c>
      <c r="Z1004" s="1">
        <v>0</v>
      </c>
      <c r="AA1004" s="1">
        <v>0</v>
      </c>
      <c r="AB1004" s="1">
        <v>0</v>
      </c>
      <c r="AC1004" s="1">
        <v>0</v>
      </c>
      <c r="AD1004" s="1">
        <v>0</v>
      </c>
    </row>
    <row r="1005" spans="1:30" s="20" customFormat="1" ht="36" customHeight="1" x14ac:dyDescent="0.25">
      <c r="A1005" s="2">
        <f t="shared" si="490"/>
        <v>977</v>
      </c>
      <c r="B1005" s="6">
        <f t="shared" si="491"/>
        <v>977</v>
      </c>
      <c r="C1005" s="19" t="s">
        <v>1068</v>
      </c>
      <c r="D1005" s="4">
        <f t="shared" si="492"/>
        <v>29484525.75</v>
      </c>
      <c r="E1005" s="1">
        <f t="shared" si="486"/>
        <v>16173315.75</v>
      </c>
      <c r="F1005" s="1">
        <f>804*4120.59</f>
        <v>3312954.3600000003</v>
      </c>
      <c r="G1005" s="1">
        <f>1693*4120.59</f>
        <v>6976158.8700000001</v>
      </c>
      <c r="H1005" s="1">
        <f>390*4120.59</f>
        <v>1607030.1</v>
      </c>
      <c r="I1005" s="1">
        <f>571*4120.59</f>
        <v>2352856.89</v>
      </c>
      <c r="J1005" s="1">
        <f>467*4120.59</f>
        <v>1924315.53</v>
      </c>
      <c r="K1005" s="1">
        <v>0</v>
      </c>
      <c r="L1005" s="2">
        <v>0</v>
      </c>
      <c r="M1005" s="1">
        <v>0</v>
      </c>
      <c r="N1005" s="1">
        <v>895</v>
      </c>
      <c r="O1005" s="1">
        <f t="shared" ref="O1005:O1008" si="493">N1005*4968</f>
        <v>4446360</v>
      </c>
      <c r="P1005" s="1">
        <v>0</v>
      </c>
      <c r="Q1005" s="1">
        <f t="shared" si="484"/>
        <v>0</v>
      </c>
      <c r="R1005" s="1">
        <v>2350</v>
      </c>
      <c r="S1005" s="1">
        <f t="shared" si="485"/>
        <v>8814850</v>
      </c>
      <c r="T1005" s="1">
        <v>0</v>
      </c>
      <c r="U1005" s="1">
        <v>50000</v>
      </c>
      <c r="V1005" s="1">
        <v>0</v>
      </c>
      <c r="W1005" s="1">
        <v>0</v>
      </c>
      <c r="X1005" s="1">
        <v>0</v>
      </c>
      <c r="Y1005" s="1">
        <v>0</v>
      </c>
      <c r="Z1005" s="1">
        <v>0</v>
      </c>
      <c r="AA1005" s="1">
        <v>0</v>
      </c>
      <c r="AB1005" s="1">
        <v>0</v>
      </c>
      <c r="AC1005" s="1">
        <v>0</v>
      </c>
      <c r="AD1005" s="1">
        <v>0</v>
      </c>
    </row>
    <row r="1006" spans="1:30" s="20" customFormat="1" ht="36" customHeight="1" x14ac:dyDescent="0.25">
      <c r="A1006" s="2">
        <f t="shared" si="490"/>
        <v>978</v>
      </c>
      <c r="B1006" s="6">
        <f t="shared" si="491"/>
        <v>978</v>
      </c>
      <c r="C1006" s="19" t="s">
        <v>1069</v>
      </c>
      <c r="D1006" s="4">
        <f t="shared" si="492"/>
        <v>31651145.75</v>
      </c>
      <c r="E1006" s="1">
        <f t="shared" si="486"/>
        <v>18508847.75</v>
      </c>
      <c r="F1006" s="1">
        <f>804*4715.63</f>
        <v>3791366.52</v>
      </c>
      <c r="G1006" s="1">
        <f>1693*4715.63</f>
        <v>7983561.5899999999</v>
      </c>
      <c r="H1006" s="1">
        <f>390*4715.63</f>
        <v>1839095.7</v>
      </c>
      <c r="I1006" s="1">
        <f>571*4715.63</f>
        <v>2692624.73</v>
      </c>
      <c r="J1006" s="1">
        <f>467*4715.63</f>
        <v>2202199.21</v>
      </c>
      <c r="K1006" s="1">
        <v>0</v>
      </c>
      <c r="L1006" s="2">
        <v>0</v>
      </c>
      <c r="M1006" s="1">
        <v>0</v>
      </c>
      <c r="N1006" s="1">
        <v>861</v>
      </c>
      <c r="O1006" s="1">
        <f t="shared" si="493"/>
        <v>4277448</v>
      </c>
      <c r="P1006" s="1">
        <v>0</v>
      </c>
      <c r="Q1006" s="1">
        <f t="shared" si="484"/>
        <v>0</v>
      </c>
      <c r="R1006" s="1">
        <v>2350</v>
      </c>
      <c r="S1006" s="1">
        <f t="shared" si="485"/>
        <v>8814850</v>
      </c>
      <c r="T1006" s="1">
        <v>0</v>
      </c>
      <c r="U1006" s="1">
        <v>50000</v>
      </c>
      <c r="V1006" s="1">
        <v>0</v>
      </c>
      <c r="W1006" s="1">
        <v>0</v>
      </c>
      <c r="X1006" s="1">
        <v>0</v>
      </c>
      <c r="Y1006" s="1">
        <v>0</v>
      </c>
      <c r="Z1006" s="1">
        <v>0</v>
      </c>
      <c r="AA1006" s="1">
        <v>0</v>
      </c>
      <c r="AB1006" s="1">
        <v>0</v>
      </c>
      <c r="AC1006" s="1">
        <v>0</v>
      </c>
      <c r="AD1006" s="1">
        <v>0</v>
      </c>
    </row>
    <row r="1007" spans="1:30" s="20" customFormat="1" ht="36" customHeight="1" x14ac:dyDescent="0.25">
      <c r="A1007" s="2">
        <f t="shared" si="490"/>
        <v>979</v>
      </c>
      <c r="B1007" s="2">
        <f>A1007</f>
        <v>979</v>
      </c>
      <c r="C1007" s="19" t="s">
        <v>1526</v>
      </c>
      <c r="D1007" s="39">
        <f t="shared" si="492"/>
        <v>30768779.749999996</v>
      </c>
      <c r="E1007" s="1">
        <f>SUM(F1007:K1007)</f>
        <v>17379703.749999996</v>
      </c>
      <c r="F1007" s="1">
        <f>804*4427.95</f>
        <v>3560071.8</v>
      </c>
      <c r="G1007" s="1">
        <f>1693*4427.95</f>
        <v>7496519.3499999996</v>
      </c>
      <c r="H1007" s="1">
        <f>390*4427.95</f>
        <v>1726900.5</v>
      </c>
      <c r="I1007" s="1">
        <f>571*4427.95</f>
        <v>2528359.4499999997</v>
      </c>
      <c r="J1007" s="1">
        <f>467*4427.95</f>
        <v>2067852.65</v>
      </c>
      <c r="K1007" s="1">
        <v>0</v>
      </c>
      <c r="L1007" s="2">
        <v>0</v>
      </c>
      <c r="M1007" s="1">
        <f>L1007*3500000</f>
        <v>0</v>
      </c>
      <c r="N1007" s="1">
        <v>882</v>
      </c>
      <c r="O1007" s="1">
        <f>N1007*4968</f>
        <v>4381776</v>
      </c>
      <c r="P1007" s="1">
        <v>200</v>
      </c>
      <c r="Q1007" s="1">
        <f>P1007*1400</f>
        <v>280000</v>
      </c>
      <c r="R1007" s="1">
        <v>2300</v>
      </c>
      <c r="S1007" s="1">
        <f>R1007*3751</f>
        <v>8627300</v>
      </c>
      <c r="T1007" s="1">
        <v>0</v>
      </c>
      <c r="U1007" s="1">
        <v>50000</v>
      </c>
      <c r="V1007" s="1">
        <v>0</v>
      </c>
      <c r="W1007" s="1">
        <v>50000</v>
      </c>
      <c r="X1007" s="1">
        <v>0</v>
      </c>
      <c r="Y1007" s="1">
        <v>0</v>
      </c>
      <c r="Z1007" s="1">
        <v>0</v>
      </c>
      <c r="AA1007" s="1">
        <v>0</v>
      </c>
      <c r="AB1007" s="1">
        <v>0</v>
      </c>
      <c r="AC1007" s="1">
        <v>0</v>
      </c>
      <c r="AD1007" s="1">
        <v>0</v>
      </c>
    </row>
    <row r="1008" spans="1:30" s="20" customFormat="1" ht="36" customHeight="1" x14ac:dyDescent="0.25">
      <c r="A1008" s="2">
        <f t="shared" si="490"/>
        <v>980</v>
      </c>
      <c r="B1008" s="2">
        <f t="shared" si="491"/>
        <v>980</v>
      </c>
      <c r="C1008" s="19" t="s">
        <v>1071</v>
      </c>
      <c r="D1008" s="39">
        <f t="shared" si="492"/>
        <v>28810368.25</v>
      </c>
      <c r="E1008" s="1">
        <f t="shared" si="486"/>
        <v>15464382.250000002</v>
      </c>
      <c r="F1008" s="1">
        <f>804*3939.97</f>
        <v>3167735.88</v>
      </c>
      <c r="G1008" s="1">
        <f>1693*3939.97</f>
        <v>6670369.21</v>
      </c>
      <c r="H1008" s="1">
        <f>390*3939.97</f>
        <v>1536588.2999999998</v>
      </c>
      <c r="I1008" s="1">
        <f>571*3939.97</f>
        <v>2249722.87</v>
      </c>
      <c r="J1008" s="1">
        <f>467*3939.97</f>
        <v>1839965.99</v>
      </c>
      <c r="K1008" s="1">
        <v>0</v>
      </c>
      <c r="L1008" s="2">
        <v>0</v>
      </c>
      <c r="M1008" s="1">
        <v>0</v>
      </c>
      <c r="N1008" s="1">
        <v>902</v>
      </c>
      <c r="O1008" s="1">
        <f t="shared" si="493"/>
        <v>4481136</v>
      </c>
      <c r="P1008" s="1">
        <v>0</v>
      </c>
      <c r="Q1008" s="1">
        <f>P1008*1400</f>
        <v>0</v>
      </c>
      <c r="R1008" s="1">
        <v>2350</v>
      </c>
      <c r="S1008" s="1">
        <f>R1008*3751</f>
        <v>8814850</v>
      </c>
      <c r="T1008" s="1">
        <v>0</v>
      </c>
      <c r="U1008" s="1">
        <v>50000</v>
      </c>
      <c r="V1008" s="1">
        <v>0</v>
      </c>
      <c r="W1008" s="1">
        <v>0</v>
      </c>
      <c r="X1008" s="1">
        <v>0</v>
      </c>
      <c r="Y1008" s="1">
        <v>0</v>
      </c>
      <c r="Z1008" s="1">
        <v>0</v>
      </c>
      <c r="AA1008" s="1">
        <v>0</v>
      </c>
      <c r="AB1008" s="1">
        <v>0</v>
      </c>
      <c r="AC1008" s="1">
        <v>0</v>
      </c>
      <c r="AD1008" s="1">
        <v>0</v>
      </c>
    </row>
    <row r="1009" spans="1:30" s="20" customFormat="1" ht="36" customHeight="1" x14ac:dyDescent="0.25">
      <c r="A1009" s="2">
        <f t="shared" si="490"/>
        <v>981</v>
      </c>
      <c r="B1009" s="6">
        <f t="shared" si="491"/>
        <v>981</v>
      </c>
      <c r="C1009" s="19" t="s">
        <v>583</v>
      </c>
      <c r="D1009" s="4">
        <f t="shared" si="492"/>
        <v>21052781.25</v>
      </c>
      <c r="E1009" s="1">
        <f t="shared" si="486"/>
        <v>12325481.25</v>
      </c>
      <c r="F1009" s="1">
        <f>804*3140.25</f>
        <v>2524761</v>
      </c>
      <c r="G1009" s="1">
        <f>1693*3140.25</f>
        <v>5316443.25</v>
      </c>
      <c r="H1009" s="1">
        <f>390*3140.25</f>
        <v>1224697.5</v>
      </c>
      <c r="I1009" s="1">
        <f>571*3140.25</f>
        <v>1793082.75</v>
      </c>
      <c r="J1009" s="1">
        <f>467*3140.25</f>
        <v>1466496.75</v>
      </c>
      <c r="K1009" s="1">
        <v>0</v>
      </c>
      <c r="L1009" s="2">
        <v>0</v>
      </c>
      <c r="M1009" s="1">
        <f t="shared" si="487"/>
        <v>0</v>
      </c>
      <c r="N1009" s="1">
        <v>0</v>
      </c>
      <c r="O1009" s="1">
        <v>0</v>
      </c>
      <c r="P1009" s="1">
        <v>0</v>
      </c>
      <c r="Q1009" s="1">
        <f t="shared" si="484"/>
        <v>0</v>
      </c>
      <c r="R1009" s="1">
        <v>2300</v>
      </c>
      <c r="S1009" s="1">
        <f t="shared" si="485"/>
        <v>8627300</v>
      </c>
      <c r="T1009" s="1">
        <v>0</v>
      </c>
      <c r="U1009" s="1">
        <v>50000</v>
      </c>
      <c r="V1009" s="1">
        <v>0</v>
      </c>
      <c r="W1009" s="1">
        <v>50000</v>
      </c>
      <c r="X1009" s="1">
        <v>0</v>
      </c>
      <c r="Y1009" s="1">
        <v>0</v>
      </c>
      <c r="Z1009" s="1">
        <v>0</v>
      </c>
      <c r="AA1009" s="1">
        <v>0</v>
      </c>
      <c r="AB1009" s="1">
        <v>0</v>
      </c>
      <c r="AC1009" s="1">
        <v>0</v>
      </c>
      <c r="AD1009" s="1">
        <v>0</v>
      </c>
    </row>
    <row r="1010" spans="1:30" s="20" customFormat="1" ht="36" customHeight="1" x14ac:dyDescent="0.25">
      <c r="A1010" s="2">
        <f t="shared" si="490"/>
        <v>982</v>
      </c>
      <c r="B1010" s="6">
        <f>A1010</f>
        <v>982</v>
      </c>
      <c r="C1010" s="19" t="s">
        <v>1073</v>
      </c>
      <c r="D1010" s="4">
        <f t="shared" si="492"/>
        <v>11422648.249999998</v>
      </c>
      <c r="E1010" s="1">
        <f>SUM(F1010:K1010)</f>
        <v>11372648.249999998</v>
      </c>
      <c r="F1010" s="1">
        <f>804*2897.49</f>
        <v>2329581.96</v>
      </c>
      <c r="G1010" s="1">
        <f>1693*2897.49</f>
        <v>4905450.5699999994</v>
      </c>
      <c r="H1010" s="1">
        <f>390*2897.49</f>
        <v>1130021.0999999999</v>
      </c>
      <c r="I1010" s="1">
        <f>571*2897.49</f>
        <v>1654466.7899999998</v>
      </c>
      <c r="J1010" s="1">
        <f>467*2897.49</f>
        <v>1353127.8299999998</v>
      </c>
      <c r="K1010" s="1">
        <v>0</v>
      </c>
      <c r="L1010" s="2">
        <v>0</v>
      </c>
      <c r="M1010" s="1">
        <v>0</v>
      </c>
      <c r="N1010" s="1">
        <v>0</v>
      </c>
      <c r="O1010" s="1">
        <v>0</v>
      </c>
      <c r="P1010" s="1">
        <v>0</v>
      </c>
      <c r="Q1010" s="1">
        <f>P1010*1400</f>
        <v>0</v>
      </c>
      <c r="R1010" s="1">
        <v>0</v>
      </c>
      <c r="S1010" s="1">
        <f>R1010*3751</f>
        <v>0</v>
      </c>
      <c r="T1010" s="1">
        <v>0</v>
      </c>
      <c r="U1010" s="1">
        <v>50000</v>
      </c>
      <c r="V1010" s="1">
        <v>0</v>
      </c>
      <c r="W1010" s="1">
        <v>0</v>
      </c>
      <c r="X1010" s="1">
        <v>0</v>
      </c>
      <c r="Y1010" s="1">
        <v>0</v>
      </c>
      <c r="Z1010" s="1">
        <v>0</v>
      </c>
      <c r="AA1010" s="1">
        <v>0</v>
      </c>
      <c r="AB1010" s="1">
        <v>0</v>
      </c>
      <c r="AC1010" s="1">
        <v>0</v>
      </c>
      <c r="AD1010" s="1">
        <v>0</v>
      </c>
    </row>
    <row r="1011" spans="1:30" s="20" customFormat="1" ht="36" customHeight="1" x14ac:dyDescent="0.25">
      <c r="A1011" s="2">
        <f t="shared" si="490"/>
        <v>983</v>
      </c>
      <c r="B1011" s="6">
        <f>A1011</f>
        <v>983</v>
      </c>
      <c r="C1011" s="19" t="s">
        <v>1074</v>
      </c>
      <c r="D1011" s="4">
        <f t="shared" si="492"/>
        <v>7037000</v>
      </c>
      <c r="E1011" s="1">
        <f>SUM(F1011:K1011)</f>
        <v>0</v>
      </c>
      <c r="F1011" s="1">
        <v>0</v>
      </c>
      <c r="G1011" s="1">
        <v>0</v>
      </c>
      <c r="H1011" s="1">
        <v>0</v>
      </c>
      <c r="I1011" s="1">
        <v>0</v>
      </c>
      <c r="J1011" s="1">
        <v>0</v>
      </c>
      <c r="K1011" s="1">
        <v>0</v>
      </c>
      <c r="L1011" s="2">
        <v>0</v>
      </c>
      <c r="M1011" s="1">
        <v>0</v>
      </c>
      <c r="N1011" s="1">
        <v>908</v>
      </c>
      <c r="O1011" s="1">
        <f>N1011*7750</f>
        <v>7037000</v>
      </c>
      <c r="P1011" s="1">
        <v>0</v>
      </c>
      <c r="Q1011" s="1">
        <f>P1011*1400</f>
        <v>0</v>
      </c>
      <c r="R1011" s="1">
        <v>0</v>
      </c>
      <c r="S1011" s="1">
        <f>R1011*3751</f>
        <v>0</v>
      </c>
      <c r="T1011" s="1">
        <v>0</v>
      </c>
      <c r="U1011" s="1">
        <v>0</v>
      </c>
      <c r="V1011" s="1">
        <v>0</v>
      </c>
      <c r="W1011" s="1">
        <v>0</v>
      </c>
      <c r="X1011" s="1">
        <v>0</v>
      </c>
      <c r="Y1011" s="1">
        <v>0</v>
      </c>
      <c r="Z1011" s="1">
        <v>0</v>
      </c>
      <c r="AA1011" s="1">
        <v>0</v>
      </c>
      <c r="AB1011" s="1">
        <v>0</v>
      </c>
      <c r="AC1011" s="1">
        <v>0</v>
      </c>
      <c r="AD1011" s="1">
        <v>0</v>
      </c>
    </row>
    <row r="1012" spans="1:30" s="20" customFormat="1" ht="36" customHeight="1" x14ac:dyDescent="0.25">
      <c r="A1012" s="2">
        <f t="shared" si="490"/>
        <v>984</v>
      </c>
      <c r="B1012" s="6">
        <f>A1012</f>
        <v>984</v>
      </c>
      <c r="C1012" s="19" t="s">
        <v>587</v>
      </c>
      <c r="D1012" s="4">
        <f t="shared" si="492"/>
        <v>5835327.75</v>
      </c>
      <c r="E1012" s="1">
        <f>SUM(F1012:K1012)</f>
        <v>5735327.75</v>
      </c>
      <c r="F1012" s="1">
        <f>804*1461.23</f>
        <v>1174828.92</v>
      </c>
      <c r="G1012" s="1">
        <f>1693*1461.23</f>
        <v>2473862.39</v>
      </c>
      <c r="H1012" s="1">
        <f>390*1461.23</f>
        <v>569879.69999999995</v>
      </c>
      <c r="I1012" s="1">
        <f>571*1461.23</f>
        <v>834362.33</v>
      </c>
      <c r="J1012" s="1">
        <f>467*1461.23</f>
        <v>682394.41</v>
      </c>
      <c r="K1012" s="1">
        <v>0</v>
      </c>
      <c r="L1012" s="2">
        <v>0</v>
      </c>
      <c r="M1012" s="1">
        <f>L1012*3500000</f>
        <v>0</v>
      </c>
      <c r="N1012" s="1">
        <v>0</v>
      </c>
      <c r="O1012" s="1">
        <v>0</v>
      </c>
      <c r="P1012" s="1">
        <v>0</v>
      </c>
      <c r="Q1012" s="1">
        <f>P1012*1400</f>
        <v>0</v>
      </c>
      <c r="R1012" s="1">
        <v>0</v>
      </c>
      <c r="S1012" s="1">
        <f>R1012*3751</f>
        <v>0</v>
      </c>
      <c r="T1012" s="1">
        <v>0</v>
      </c>
      <c r="U1012" s="1">
        <v>50000</v>
      </c>
      <c r="V1012" s="1">
        <v>0</v>
      </c>
      <c r="W1012" s="1">
        <v>50000</v>
      </c>
      <c r="X1012" s="1">
        <v>0</v>
      </c>
      <c r="Y1012" s="1">
        <v>0</v>
      </c>
      <c r="Z1012" s="1">
        <v>0</v>
      </c>
      <c r="AA1012" s="1">
        <v>0</v>
      </c>
      <c r="AB1012" s="1">
        <v>0</v>
      </c>
      <c r="AC1012" s="1">
        <v>0</v>
      </c>
      <c r="AD1012" s="1">
        <v>0</v>
      </c>
    </row>
    <row r="1013" spans="1:30" s="20" customFormat="1" ht="36" customHeight="1" x14ac:dyDescent="0.25">
      <c r="A1013" s="2">
        <f t="shared" si="490"/>
        <v>985</v>
      </c>
      <c r="B1013" s="6">
        <f>A1013</f>
        <v>985</v>
      </c>
      <c r="C1013" s="19" t="s">
        <v>588</v>
      </c>
      <c r="D1013" s="4">
        <f t="shared" si="492"/>
        <v>7487639.9999999991</v>
      </c>
      <c r="E1013" s="1">
        <f>SUM(F1013:K1013)</f>
        <v>5137039.9999999991</v>
      </c>
      <c r="F1013" s="1">
        <f>804*1308.8</f>
        <v>1052275.2</v>
      </c>
      <c r="G1013" s="1">
        <f>1693*1308.8</f>
        <v>2215798.4</v>
      </c>
      <c r="H1013" s="1">
        <f>390*1308.8</f>
        <v>510432</v>
      </c>
      <c r="I1013" s="1">
        <f>571*1308.8</f>
        <v>747324.79999999993</v>
      </c>
      <c r="J1013" s="1">
        <f>467*1308.8</f>
        <v>611209.6</v>
      </c>
      <c r="K1013" s="1">
        <v>0</v>
      </c>
      <c r="L1013" s="2">
        <v>0</v>
      </c>
      <c r="M1013" s="1">
        <f>L1013*3500000</f>
        <v>0</v>
      </c>
      <c r="N1013" s="1">
        <v>0</v>
      </c>
      <c r="O1013" s="1">
        <v>0</v>
      </c>
      <c r="P1013" s="1">
        <v>0</v>
      </c>
      <c r="Q1013" s="1">
        <f>P1013*1400</f>
        <v>0</v>
      </c>
      <c r="R1013" s="1">
        <v>600</v>
      </c>
      <c r="S1013" s="1">
        <f>R1013*3751</f>
        <v>2250600</v>
      </c>
      <c r="T1013" s="1">
        <v>0</v>
      </c>
      <c r="U1013" s="1">
        <v>50000</v>
      </c>
      <c r="V1013" s="1">
        <v>0</v>
      </c>
      <c r="W1013" s="1">
        <v>50000</v>
      </c>
      <c r="X1013" s="1">
        <v>0</v>
      </c>
      <c r="Y1013" s="1">
        <v>0</v>
      </c>
      <c r="Z1013" s="1">
        <v>0</v>
      </c>
      <c r="AA1013" s="1">
        <v>0</v>
      </c>
      <c r="AB1013" s="1">
        <v>0</v>
      </c>
      <c r="AC1013" s="1">
        <v>0</v>
      </c>
      <c r="AD1013" s="1">
        <v>0</v>
      </c>
    </row>
    <row r="1014" spans="1:30" s="20" customFormat="1" ht="36" customHeight="1" x14ac:dyDescent="0.25">
      <c r="A1014" s="2">
        <f t="shared" si="490"/>
        <v>986</v>
      </c>
      <c r="B1014" s="6">
        <f>A1014</f>
        <v>986</v>
      </c>
      <c r="C1014" s="19" t="s">
        <v>589</v>
      </c>
      <c r="D1014" s="4">
        <f t="shared" si="492"/>
        <v>6164439</v>
      </c>
      <c r="E1014" s="1">
        <f>SUM(F1014:K1014)</f>
        <v>6064439</v>
      </c>
      <c r="F1014" s="1">
        <f>804*1545.08</f>
        <v>1242244.3199999998</v>
      </c>
      <c r="G1014" s="1">
        <f>1693*1545.08</f>
        <v>2615820.44</v>
      </c>
      <c r="H1014" s="1">
        <f>390*1545.08</f>
        <v>602581.19999999995</v>
      </c>
      <c r="I1014" s="1">
        <f>571*1545.08</f>
        <v>882240.67999999993</v>
      </c>
      <c r="J1014" s="1">
        <f>467*1545.08</f>
        <v>721552.36</v>
      </c>
      <c r="K1014" s="1">
        <v>0</v>
      </c>
      <c r="L1014" s="2">
        <v>0</v>
      </c>
      <c r="M1014" s="1">
        <f>L1014*3500000</f>
        <v>0</v>
      </c>
      <c r="N1014" s="1">
        <v>0</v>
      </c>
      <c r="O1014" s="1">
        <v>0</v>
      </c>
      <c r="P1014" s="1">
        <v>0</v>
      </c>
      <c r="Q1014" s="1">
        <f>P1014*1400</f>
        <v>0</v>
      </c>
      <c r="R1014" s="1">
        <v>0</v>
      </c>
      <c r="S1014" s="1">
        <f>R1014*3751</f>
        <v>0</v>
      </c>
      <c r="T1014" s="1">
        <v>0</v>
      </c>
      <c r="U1014" s="1">
        <v>50000</v>
      </c>
      <c r="V1014" s="1">
        <v>0</v>
      </c>
      <c r="W1014" s="1">
        <v>50000</v>
      </c>
      <c r="X1014" s="1">
        <v>0</v>
      </c>
      <c r="Y1014" s="1">
        <v>0</v>
      </c>
      <c r="Z1014" s="1">
        <v>0</v>
      </c>
      <c r="AA1014" s="1">
        <v>0</v>
      </c>
      <c r="AB1014" s="1">
        <v>0</v>
      </c>
      <c r="AC1014" s="1">
        <v>0</v>
      </c>
      <c r="AD1014" s="1">
        <v>0</v>
      </c>
    </row>
    <row r="1015" spans="1:30" s="20" customFormat="1" ht="36" customHeight="1" x14ac:dyDescent="0.25">
      <c r="A1015" s="2">
        <f t="shared" si="490"/>
        <v>987</v>
      </c>
      <c r="B1015" s="6">
        <f t="shared" si="491"/>
        <v>987</v>
      </c>
      <c r="C1015" s="19" t="s">
        <v>584</v>
      </c>
      <c r="D1015" s="4">
        <f t="shared" si="492"/>
        <v>4822560.0000000009</v>
      </c>
      <c r="E1015" s="1">
        <f t="shared" si="486"/>
        <v>4722560.0000000009</v>
      </c>
      <c r="F1015" s="1">
        <f>804*1203.2</f>
        <v>967372.80000000005</v>
      </c>
      <c r="G1015" s="1">
        <f>1693*1203.2</f>
        <v>2037017.6000000001</v>
      </c>
      <c r="H1015" s="1">
        <f>390*1203.2</f>
        <v>469248</v>
      </c>
      <c r="I1015" s="1">
        <f>571*1203.2</f>
        <v>687027.20000000007</v>
      </c>
      <c r="J1015" s="1">
        <f>467*1203.2</f>
        <v>561894.40000000002</v>
      </c>
      <c r="K1015" s="1">
        <v>0</v>
      </c>
      <c r="L1015" s="2">
        <v>0</v>
      </c>
      <c r="M1015" s="1">
        <f t="shared" si="487"/>
        <v>0</v>
      </c>
      <c r="N1015" s="1">
        <v>0</v>
      </c>
      <c r="O1015" s="1">
        <v>0</v>
      </c>
      <c r="P1015" s="1">
        <v>0</v>
      </c>
      <c r="Q1015" s="1">
        <f t="shared" si="484"/>
        <v>0</v>
      </c>
      <c r="R1015" s="1">
        <v>0</v>
      </c>
      <c r="S1015" s="1">
        <f t="shared" si="485"/>
        <v>0</v>
      </c>
      <c r="T1015" s="1">
        <v>0</v>
      </c>
      <c r="U1015" s="1">
        <v>50000</v>
      </c>
      <c r="V1015" s="1">
        <v>0</v>
      </c>
      <c r="W1015" s="1">
        <v>50000</v>
      </c>
      <c r="X1015" s="1">
        <v>0</v>
      </c>
      <c r="Y1015" s="1">
        <v>0</v>
      </c>
      <c r="Z1015" s="1">
        <v>0</v>
      </c>
      <c r="AA1015" s="1">
        <v>0</v>
      </c>
      <c r="AB1015" s="1">
        <v>0</v>
      </c>
      <c r="AC1015" s="1">
        <v>0</v>
      </c>
      <c r="AD1015" s="1">
        <v>0</v>
      </c>
    </row>
    <row r="1016" spans="1:30" s="20" customFormat="1" ht="36" customHeight="1" x14ac:dyDescent="0.25">
      <c r="A1016" s="2">
        <f t="shared" si="490"/>
        <v>988</v>
      </c>
      <c r="B1016" s="6">
        <f t="shared" si="491"/>
        <v>988</v>
      </c>
      <c r="C1016" s="19" t="s">
        <v>585</v>
      </c>
      <c r="D1016" s="4">
        <f t="shared" si="492"/>
        <v>9700479.5</v>
      </c>
      <c r="E1016" s="1">
        <f t="shared" si="486"/>
        <v>5999519.4999999991</v>
      </c>
      <c r="F1016" s="1">
        <f>804*1528.54</f>
        <v>1228946.1599999999</v>
      </c>
      <c r="G1016" s="1">
        <f>1693*1528.54</f>
        <v>2587818.2199999997</v>
      </c>
      <c r="H1016" s="1">
        <f>390*1528.54</f>
        <v>596130.6</v>
      </c>
      <c r="I1016" s="1">
        <f>571*1528.54</f>
        <v>872796.34</v>
      </c>
      <c r="J1016" s="1">
        <f>467*1528.54</f>
        <v>713828.17999999993</v>
      </c>
      <c r="K1016" s="1">
        <v>0</v>
      </c>
      <c r="L1016" s="2">
        <v>0</v>
      </c>
      <c r="M1016" s="1">
        <f t="shared" si="487"/>
        <v>0</v>
      </c>
      <c r="N1016" s="1">
        <v>0</v>
      </c>
      <c r="O1016" s="1">
        <v>0</v>
      </c>
      <c r="P1016" s="1">
        <v>0</v>
      </c>
      <c r="Q1016" s="1">
        <f t="shared" si="484"/>
        <v>0</v>
      </c>
      <c r="R1016" s="1">
        <v>960</v>
      </c>
      <c r="S1016" s="1">
        <f t="shared" si="485"/>
        <v>3600960</v>
      </c>
      <c r="T1016" s="1">
        <v>0</v>
      </c>
      <c r="U1016" s="1">
        <v>50000</v>
      </c>
      <c r="V1016" s="1">
        <v>0</v>
      </c>
      <c r="W1016" s="1">
        <v>50000</v>
      </c>
      <c r="X1016" s="1">
        <v>0</v>
      </c>
      <c r="Y1016" s="1">
        <v>0</v>
      </c>
      <c r="Z1016" s="1">
        <v>0</v>
      </c>
      <c r="AA1016" s="1">
        <v>0</v>
      </c>
      <c r="AB1016" s="1">
        <v>0</v>
      </c>
      <c r="AC1016" s="1">
        <v>0</v>
      </c>
      <c r="AD1016" s="1">
        <v>0</v>
      </c>
    </row>
    <row r="1017" spans="1:30" s="20" customFormat="1" ht="36" customHeight="1" x14ac:dyDescent="0.25">
      <c r="A1017" s="2">
        <f t="shared" si="490"/>
        <v>989</v>
      </c>
      <c r="B1017" s="6">
        <f t="shared" si="491"/>
        <v>989</v>
      </c>
      <c r="C1017" s="19" t="s">
        <v>586</v>
      </c>
      <c r="D1017" s="4">
        <f t="shared" si="492"/>
        <v>11305426.25</v>
      </c>
      <c r="E1017" s="1">
        <f t="shared" si="486"/>
        <v>7079326.2500000009</v>
      </c>
      <c r="F1017" s="1">
        <f>804*1803.65</f>
        <v>1450134.6</v>
      </c>
      <c r="G1017" s="1">
        <f>1693*1803.65</f>
        <v>3053579.45</v>
      </c>
      <c r="H1017" s="1">
        <f>390*1803.65</f>
        <v>703423.5</v>
      </c>
      <c r="I1017" s="1">
        <f>571*1803.65</f>
        <v>1029884.15</v>
      </c>
      <c r="J1017" s="1">
        <f>467*1803.65</f>
        <v>842304.55</v>
      </c>
      <c r="K1017" s="1">
        <v>0</v>
      </c>
      <c r="L1017" s="2">
        <v>0</v>
      </c>
      <c r="M1017" s="1">
        <f t="shared" si="487"/>
        <v>0</v>
      </c>
      <c r="N1017" s="1">
        <v>0</v>
      </c>
      <c r="O1017" s="1">
        <v>0</v>
      </c>
      <c r="P1017" s="1">
        <v>0</v>
      </c>
      <c r="Q1017" s="1">
        <f>P1017*1400</f>
        <v>0</v>
      </c>
      <c r="R1017" s="1">
        <v>1100</v>
      </c>
      <c r="S1017" s="1">
        <f>R1017*3751</f>
        <v>4126100</v>
      </c>
      <c r="T1017" s="1">
        <v>0</v>
      </c>
      <c r="U1017" s="1">
        <v>50000</v>
      </c>
      <c r="V1017" s="1">
        <v>0</v>
      </c>
      <c r="W1017" s="1">
        <v>50000</v>
      </c>
      <c r="X1017" s="1">
        <v>0</v>
      </c>
      <c r="Y1017" s="1">
        <v>0</v>
      </c>
      <c r="Z1017" s="1">
        <v>0</v>
      </c>
      <c r="AA1017" s="1">
        <v>0</v>
      </c>
      <c r="AB1017" s="1">
        <v>0</v>
      </c>
      <c r="AC1017" s="1">
        <v>0</v>
      </c>
      <c r="AD1017" s="1">
        <v>0</v>
      </c>
    </row>
    <row r="1018" spans="1:30" s="20" customFormat="1" ht="54.95" customHeight="1" x14ac:dyDescent="0.25">
      <c r="A1018" s="3"/>
      <c r="B1018" s="47" t="s">
        <v>1982</v>
      </c>
      <c r="C1018" s="48"/>
      <c r="D1018" s="4">
        <f>SUM(D1019:D1044)</f>
        <v>106093595.89999999</v>
      </c>
      <c r="E1018" s="4">
        <f t="shared" ref="E1018:AD1018" si="494">SUM(E1019:E1044)</f>
        <v>24542247.200000003</v>
      </c>
      <c r="F1018" s="4">
        <f t="shared" si="494"/>
        <v>5505100.5599999996</v>
      </c>
      <c r="G1018" s="4">
        <f t="shared" si="494"/>
        <v>12128719.719999999</v>
      </c>
      <c r="H1018" s="4">
        <f t="shared" si="494"/>
        <v>2325429.5999999996</v>
      </c>
      <c r="I1018" s="4">
        <f t="shared" si="494"/>
        <v>1798444.44</v>
      </c>
      <c r="J1018" s="4">
        <f t="shared" si="494"/>
        <v>2784552.88</v>
      </c>
      <c r="K1018" s="4">
        <f t="shared" si="494"/>
        <v>0</v>
      </c>
      <c r="L1018" s="17">
        <f t="shared" si="494"/>
        <v>0</v>
      </c>
      <c r="M1018" s="4">
        <f t="shared" si="494"/>
        <v>0</v>
      </c>
      <c r="N1018" s="4">
        <f t="shared" si="494"/>
        <v>9887.6</v>
      </c>
      <c r="O1018" s="4">
        <f t="shared" si="494"/>
        <v>58844686.799999997</v>
      </c>
      <c r="P1018" s="4">
        <f t="shared" si="494"/>
        <v>0</v>
      </c>
      <c r="Q1018" s="4">
        <f t="shared" si="494"/>
        <v>0</v>
      </c>
      <c r="R1018" s="4">
        <f t="shared" si="494"/>
        <v>5786.9</v>
      </c>
      <c r="S1018" s="4">
        <f t="shared" si="494"/>
        <v>21706661.899999999</v>
      </c>
      <c r="T1018" s="4">
        <f t="shared" si="494"/>
        <v>0</v>
      </c>
      <c r="U1018" s="4">
        <f t="shared" si="494"/>
        <v>550000</v>
      </c>
      <c r="V1018" s="4">
        <f t="shared" si="494"/>
        <v>0</v>
      </c>
      <c r="W1018" s="4">
        <f t="shared" si="494"/>
        <v>450000</v>
      </c>
      <c r="X1018" s="4">
        <f t="shared" si="494"/>
        <v>0</v>
      </c>
      <c r="Y1018" s="4">
        <f t="shared" si="494"/>
        <v>0</v>
      </c>
      <c r="Z1018" s="4">
        <f t="shared" si="494"/>
        <v>0</v>
      </c>
      <c r="AA1018" s="4">
        <f t="shared" si="494"/>
        <v>0</v>
      </c>
      <c r="AB1018" s="4">
        <f t="shared" si="494"/>
        <v>0</v>
      </c>
      <c r="AC1018" s="4">
        <f t="shared" si="494"/>
        <v>0</v>
      </c>
      <c r="AD1018" s="4">
        <f t="shared" si="494"/>
        <v>0</v>
      </c>
    </row>
    <row r="1019" spans="1:30" s="20" customFormat="1" ht="36" customHeight="1" x14ac:dyDescent="0.25">
      <c r="A1019" s="2">
        <f>ROW()-ROW($A$11)-18</f>
        <v>990</v>
      </c>
      <c r="B1019" s="6">
        <f t="shared" ref="B1019:B1030" si="495">A1019</f>
        <v>990</v>
      </c>
      <c r="C1019" s="19" t="s">
        <v>590</v>
      </c>
      <c r="D1019" s="4">
        <f t="shared" ref="D1019:D1044" si="496">E1019+M1019+O1019+Q1019+S1019+T1019+U1019+V1019+W1019+X1019+Z1019+AA1019+AB1019+AC1019+AD1019</f>
        <v>5796166</v>
      </c>
      <c r="E1019" s="1">
        <f t="shared" ref="E1019:E1043" si="497">SUM(F1019:J1019)</f>
        <v>1550846</v>
      </c>
      <c r="F1019" s="1">
        <f>804*395.12</f>
        <v>317676.48</v>
      </c>
      <c r="G1019" s="1">
        <f>1693*395.12</f>
        <v>668938.16</v>
      </c>
      <c r="H1019" s="1">
        <f>390*395.12</f>
        <v>154096.79999999999</v>
      </c>
      <c r="I1019" s="1">
        <f>571*395.12</f>
        <v>225613.52</v>
      </c>
      <c r="J1019" s="1">
        <f>467*395.12</f>
        <v>184521.04</v>
      </c>
      <c r="K1019" s="1">
        <v>0</v>
      </c>
      <c r="L1019" s="2">
        <v>0</v>
      </c>
      <c r="M1019" s="1">
        <v>0</v>
      </c>
      <c r="N1019" s="1">
        <v>380</v>
      </c>
      <c r="O1019" s="1">
        <f>N1019*7750</f>
        <v>2945000</v>
      </c>
      <c r="P1019" s="1">
        <v>0</v>
      </c>
      <c r="Q1019" s="1">
        <f t="shared" ref="Q1019:Q1043" si="498">P1019*1400</f>
        <v>0</v>
      </c>
      <c r="R1019" s="1">
        <v>320</v>
      </c>
      <c r="S1019" s="1">
        <f t="shared" ref="S1019:S1043" si="499">R1019*3751</f>
        <v>1200320</v>
      </c>
      <c r="T1019" s="1">
        <v>0</v>
      </c>
      <c r="U1019" s="1">
        <v>50000</v>
      </c>
      <c r="V1019" s="1">
        <v>0</v>
      </c>
      <c r="W1019" s="1">
        <v>50000</v>
      </c>
      <c r="X1019" s="1">
        <v>0</v>
      </c>
      <c r="Y1019" s="1">
        <v>0</v>
      </c>
      <c r="Z1019" s="1">
        <v>0</v>
      </c>
      <c r="AA1019" s="1">
        <v>0</v>
      </c>
      <c r="AB1019" s="1">
        <v>0</v>
      </c>
      <c r="AC1019" s="1">
        <v>0</v>
      </c>
      <c r="AD1019" s="1">
        <v>0</v>
      </c>
    </row>
    <row r="1020" spans="1:30" s="20" customFormat="1" ht="36" customHeight="1" x14ac:dyDescent="0.25">
      <c r="A1020" s="2">
        <f t="shared" ref="A1020:A1044" si="500">ROW()-ROW($A$11)-18</f>
        <v>991</v>
      </c>
      <c r="B1020" s="6">
        <f t="shared" si="495"/>
        <v>991</v>
      </c>
      <c r="C1020" s="19" t="s">
        <v>591</v>
      </c>
      <c r="D1020" s="4">
        <f t="shared" si="496"/>
        <v>5345645</v>
      </c>
      <c r="E1020" s="1">
        <f t="shared" si="497"/>
        <v>1482865.0000000002</v>
      </c>
      <c r="F1020" s="1">
        <f>804*377.8</f>
        <v>303751.2</v>
      </c>
      <c r="G1020" s="1">
        <f>1693*377.8</f>
        <v>639615.4</v>
      </c>
      <c r="H1020" s="1">
        <f>390*377.8</f>
        <v>147342</v>
      </c>
      <c r="I1020" s="1">
        <f>571*377.8</f>
        <v>215723.80000000002</v>
      </c>
      <c r="J1020" s="1">
        <f>467*377.8</f>
        <v>176432.6</v>
      </c>
      <c r="K1020" s="1">
        <v>0</v>
      </c>
      <c r="L1020" s="2">
        <v>0</v>
      </c>
      <c r="M1020" s="1">
        <v>0</v>
      </c>
      <c r="N1020" s="1">
        <v>350</v>
      </c>
      <c r="O1020" s="1">
        <f>N1020*7750</f>
        <v>2712500</v>
      </c>
      <c r="P1020" s="1">
        <v>0</v>
      </c>
      <c r="Q1020" s="1">
        <f t="shared" si="498"/>
        <v>0</v>
      </c>
      <c r="R1020" s="1">
        <v>280</v>
      </c>
      <c r="S1020" s="1">
        <f t="shared" si="499"/>
        <v>1050280</v>
      </c>
      <c r="T1020" s="1">
        <v>0</v>
      </c>
      <c r="U1020" s="1">
        <v>50000</v>
      </c>
      <c r="V1020" s="1">
        <v>0</v>
      </c>
      <c r="W1020" s="1">
        <v>50000</v>
      </c>
      <c r="X1020" s="1">
        <v>0</v>
      </c>
      <c r="Y1020" s="1">
        <v>0</v>
      </c>
      <c r="Z1020" s="1">
        <v>0</v>
      </c>
      <c r="AA1020" s="1">
        <v>0</v>
      </c>
      <c r="AB1020" s="1">
        <v>0</v>
      </c>
      <c r="AC1020" s="1">
        <v>0</v>
      </c>
      <c r="AD1020" s="1">
        <v>0</v>
      </c>
    </row>
    <row r="1021" spans="1:30" s="20" customFormat="1" ht="36" customHeight="1" x14ac:dyDescent="0.25">
      <c r="A1021" s="2">
        <f t="shared" si="500"/>
        <v>992</v>
      </c>
      <c r="B1021" s="6">
        <f>A1021</f>
        <v>992</v>
      </c>
      <c r="C1021" s="19" t="s">
        <v>2191</v>
      </c>
      <c r="D1021" s="4">
        <f t="shared" si="496"/>
        <v>2213090</v>
      </c>
      <c r="E1021" s="1">
        <f>SUM(F1021:K1021)</f>
        <v>0</v>
      </c>
      <c r="F1021" s="1">
        <v>0</v>
      </c>
      <c r="G1021" s="1">
        <v>0</v>
      </c>
      <c r="H1021" s="1">
        <v>0</v>
      </c>
      <c r="I1021" s="1">
        <v>0</v>
      </c>
      <c r="J1021" s="1">
        <v>0</v>
      </c>
      <c r="K1021" s="1">
        <v>0</v>
      </c>
      <c r="L1021" s="2">
        <v>0</v>
      </c>
      <c r="M1021" s="1">
        <v>0</v>
      </c>
      <c r="N1021" s="1">
        <v>0</v>
      </c>
      <c r="O1021" s="1">
        <v>0</v>
      </c>
      <c r="P1021" s="1">
        <v>0</v>
      </c>
      <c r="Q1021" s="1">
        <f>P1021*1400</f>
        <v>0</v>
      </c>
      <c r="R1021" s="1">
        <v>590</v>
      </c>
      <c r="S1021" s="1">
        <f>R1021*3751</f>
        <v>2213090</v>
      </c>
      <c r="T1021" s="1">
        <v>0</v>
      </c>
      <c r="U1021" s="1">
        <v>0</v>
      </c>
      <c r="V1021" s="1">
        <v>0</v>
      </c>
      <c r="W1021" s="1">
        <v>0</v>
      </c>
      <c r="X1021" s="1">
        <v>0</v>
      </c>
      <c r="Y1021" s="1">
        <v>0</v>
      </c>
      <c r="Z1021" s="1">
        <v>0</v>
      </c>
      <c r="AA1021" s="1">
        <v>0</v>
      </c>
      <c r="AB1021" s="1">
        <v>0</v>
      </c>
      <c r="AC1021" s="1">
        <v>0</v>
      </c>
      <c r="AD1021" s="1">
        <v>0</v>
      </c>
    </row>
    <row r="1022" spans="1:30" s="20" customFormat="1" ht="36" customHeight="1" x14ac:dyDescent="0.25">
      <c r="A1022" s="2">
        <f t="shared" si="500"/>
        <v>993</v>
      </c>
      <c r="B1022" s="6">
        <f>A1022</f>
        <v>993</v>
      </c>
      <c r="C1022" s="19" t="s">
        <v>2176</v>
      </c>
      <c r="D1022" s="4">
        <f t="shared" si="496"/>
        <v>2712500</v>
      </c>
      <c r="E1022" s="1">
        <f>SUM(F1022:K1022)</f>
        <v>0</v>
      </c>
      <c r="F1022" s="1">
        <v>0</v>
      </c>
      <c r="G1022" s="1">
        <v>0</v>
      </c>
      <c r="H1022" s="1">
        <v>0</v>
      </c>
      <c r="I1022" s="1">
        <v>0</v>
      </c>
      <c r="J1022" s="1">
        <v>0</v>
      </c>
      <c r="K1022" s="1">
        <v>0</v>
      </c>
      <c r="L1022" s="2">
        <v>0</v>
      </c>
      <c r="M1022" s="1">
        <v>0</v>
      </c>
      <c r="N1022" s="1">
        <v>350</v>
      </c>
      <c r="O1022" s="1">
        <f>N1022*7750</f>
        <v>2712500</v>
      </c>
      <c r="P1022" s="1">
        <v>0</v>
      </c>
      <c r="Q1022" s="1">
        <f>P1022*1400</f>
        <v>0</v>
      </c>
      <c r="R1022" s="1">
        <v>0</v>
      </c>
      <c r="S1022" s="1">
        <f>R1022*3751</f>
        <v>0</v>
      </c>
      <c r="T1022" s="1">
        <v>0</v>
      </c>
      <c r="U1022" s="1">
        <v>0</v>
      </c>
      <c r="V1022" s="1">
        <v>0</v>
      </c>
      <c r="W1022" s="1">
        <v>0</v>
      </c>
      <c r="X1022" s="1">
        <v>0</v>
      </c>
      <c r="Y1022" s="1">
        <v>0</v>
      </c>
      <c r="Z1022" s="1">
        <v>0</v>
      </c>
      <c r="AA1022" s="1">
        <v>0</v>
      </c>
      <c r="AB1022" s="1">
        <v>0</v>
      </c>
      <c r="AC1022" s="1">
        <v>0</v>
      </c>
      <c r="AD1022" s="1">
        <v>0</v>
      </c>
    </row>
    <row r="1023" spans="1:30" s="20" customFormat="1" ht="36" customHeight="1" x14ac:dyDescent="0.25">
      <c r="A1023" s="2">
        <f t="shared" si="500"/>
        <v>994</v>
      </c>
      <c r="B1023" s="6">
        <f>A1023</f>
        <v>994</v>
      </c>
      <c r="C1023" s="19" t="s">
        <v>2169</v>
      </c>
      <c r="D1023" s="4">
        <f t="shared" si="496"/>
        <v>3968307.1999999997</v>
      </c>
      <c r="E1023" s="1">
        <f>SUM(F1023:K1023)</f>
        <v>1921171.1999999997</v>
      </c>
      <c r="F1023" s="1">
        <f>804*572.8</f>
        <v>460531.19999999995</v>
      </c>
      <c r="G1023" s="1">
        <f>1693*572.8</f>
        <v>969750.39999999991</v>
      </c>
      <c r="H1023" s="1">
        <f>390*572.8</f>
        <v>223391.99999999997</v>
      </c>
      <c r="I1023" s="1">
        <v>0</v>
      </c>
      <c r="J1023" s="1">
        <f>467*572.8</f>
        <v>267497.59999999998</v>
      </c>
      <c r="K1023" s="1">
        <v>0</v>
      </c>
      <c r="L1023" s="2">
        <v>0</v>
      </c>
      <c r="M1023" s="1">
        <v>0</v>
      </c>
      <c r="N1023" s="1">
        <v>402</v>
      </c>
      <c r="O1023" s="1">
        <f>N1023*4968</f>
        <v>1997136</v>
      </c>
      <c r="P1023" s="1">
        <v>0</v>
      </c>
      <c r="Q1023" s="1">
        <f>P1023*1400</f>
        <v>0</v>
      </c>
      <c r="R1023" s="1">
        <v>0</v>
      </c>
      <c r="S1023" s="1">
        <f>R1023*3751</f>
        <v>0</v>
      </c>
      <c r="T1023" s="1">
        <v>0</v>
      </c>
      <c r="U1023" s="1">
        <v>50000</v>
      </c>
      <c r="V1023" s="1">
        <v>0</v>
      </c>
      <c r="W1023" s="1">
        <v>0</v>
      </c>
      <c r="X1023" s="1">
        <v>0</v>
      </c>
      <c r="Y1023" s="1">
        <v>0</v>
      </c>
      <c r="Z1023" s="1">
        <v>0</v>
      </c>
      <c r="AA1023" s="1">
        <v>0</v>
      </c>
      <c r="AB1023" s="1">
        <v>0</v>
      </c>
      <c r="AC1023" s="1">
        <v>0</v>
      </c>
      <c r="AD1023" s="1">
        <v>0</v>
      </c>
    </row>
    <row r="1024" spans="1:30" s="20" customFormat="1" ht="36" customHeight="1" x14ac:dyDescent="0.25">
      <c r="A1024" s="2">
        <f t="shared" si="500"/>
        <v>995</v>
      </c>
      <c r="B1024" s="6">
        <f t="shared" si="495"/>
        <v>995</v>
      </c>
      <c r="C1024" s="19" t="s">
        <v>1088</v>
      </c>
      <c r="D1024" s="4">
        <f t="shared" si="496"/>
        <v>4070300</v>
      </c>
      <c r="E1024" s="1">
        <f t="shared" si="497"/>
        <v>0</v>
      </c>
      <c r="F1024" s="1">
        <v>0</v>
      </c>
      <c r="G1024" s="1">
        <v>0</v>
      </c>
      <c r="H1024" s="1">
        <v>0</v>
      </c>
      <c r="I1024" s="1">
        <v>0</v>
      </c>
      <c r="J1024" s="1">
        <v>0</v>
      </c>
      <c r="K1024" s="1">
        <v>0</v>
      </c>
      <c r="L1024" s="2">
        <v>0</v>
      </c>
      <c r="M1024" s="1">
        <v>0</v>
      </c>
      <c r="N1024" s="1">
        <v>380</v>
      </c>
      <c r="O1024" s="1">
        <f>N1024*7750</f>
        <v>2945000</v>
      </c>
      <c r="P1024" s="1">
        <v>0</v>
      </c>
      <c r="Q1024" s="1">
        <f t="shared" si="498"/>
        <v>0</v>
      </c>
      <c r="R1024" s="1">
        <v>300</v>
      </c>
      <c r="S1024" s="1">
        <f t="shared" si="499"/>
        <v>1125300</v>
      </c>
      <c r="T1024" s="1">
        <v>0</v>
      </c>
      <c r="U1024" s="1">
        <v>0</v>
      </c>
      <c r="V1024" s="1">
        <v>0</v>
      </c>
      <c r="W1024" s="1">
        <v>0</v>
      </c>
      <c r="X1024" s="1">
        <v>0</v>
      </c>
      <c r="Y1024" s="1">
        <v>0</v>
      </c>
      <c r="Z1024" s="1">
        <v>0</v>
      </c>
      <c r="AA1024" s="1">
        <v>0</v>
      </c>
      <c r="AB1024" s="1">
        <v>0</v>
      </c>
      <c r="AC1024" s="1">
        <v>0</v>
      </c>
      <c r="AD1024" s="1">
        <v>0</v>
      </c>
    </row>
    <row r="1025" spans="1:30" s="20" customFormat="1" ht="36" customHeight="1" x14ac:dyDescent="0.25">
      <c r="A1025" s="2">
        <f t="shared" si="500"/>
        <v>996</v>
      </c>
      <c r="B1025" s="3">
        <f t="shared" si="495"/>
        <v>996</v>
      </c>
      <c r="C1025" s="19" t="s">
        <v>1548</v>
      </c>
      <c r="D1025" s="4">
        <f t="shared" si="496"/>
        <v>9067220</v>
      </c>
      <c r="E1025" s="1">
        <f>SUM(F1025:K1025)</f>
        <v>3516800</v>
      </c>
      <c r="F1025" s="1">
        <f>804*896</f>
        <v>720384</v>
      </c>
      <c r="G1025" s="1">
        <f>1693*896</f>
        <v>1516928</v>
      </c>
      <c r="H1025" s="1">
        <f>390*896</f>
        <v>349440</v>
      </c>
      <c r="I1025" s="1">
        <f>571*896</f>
        <v>511616</v>
      </c>
      <c r="J1025" s="1">
        <f>467*896</f>
        <v>418432</v>
      </c>
      <c r="K1025" s="1">
        <v>0</v>
      </c>
      <c r="L1025" s="2">
        <v>0</v>
      </c>
      <c r="M1025" s="1">
        <v>0</v>
      </c>
      <c r="N1025" s="1">
        <v>500</v>
      </c>
      <c r="O1025" s="1">
        <f>N1025*7750</f>
        <v>3875000</v>
      </c>
      <c r="P1025" s="1">
        <v>0</v>
      </c>
      <c r="Q1025" s="1">
        <f t="shared" si="498"/>
        <v>0</v>
      </c>
      <c r="R1025" s="1">
        <v>420</v>
      </c>
      <c r="S1025" s="1">
        <f t="shared" si="499"/>
        <v>1575420</v>
      </c>
      <c r="T1025" s="1">
        <v>0</v>
      </c>
      <c r="U1025" s="1">
        <v>50000</v>
      </c>
      <c r="V1025" s="1">
        <v>0</v>
      </c>
      <c r="W1025" s="1">
        <v>50000</v>
      </c>
      <c r="X1025" s="1">
        <v>0</v>
      </c>
      <c r="Y1025" s="1">
        <v>0</v>
      </c>
      <c r="Z1025" s="1">
        <v>0</v>
      </c>
      <c r="AA1025" s="1">
        <v>0</v>
      </c>
      <c r="AB1025" s="1">
        <v>0</v>
      </c>
      <c r="AC1025" s="1">
        <v>0</v>
      </c>
      <c r="AD1025" s="1">
        <v>0</v>
      </c>
    </row>
    <row r="1026" spans="1:30" s="20" customFormat="1" ht="36" customHeight="1" x14ac:dyDescent="0.25">
      <c r="A1026" s="2">
        <f t="shared" si="500"/>
        <v>997</v>
      </c>
      <c r="B1026" s="6">
        <f>A1026</f>
        <v>997</v>
      </c>
      <c r="C1026" s="19" t="s">
        <v>2183</v>
      </c>
      <c r="D1026" s="4">
        <f t="shared" si="496"/>
        <v>2002104</v>
      </c>
      <c r="E1026" s="1">
        <f>SUM(F1026:K1026)</f>
        <v>0</v>
      </c>
      <c r="F1026" s="1">
        <v>0</v>
      </c>
      <c r="G1026" s="1">
        <v>0</v>
      </c>
      <c r="H1026" s="1">
        <v>0</v>
      </c>
      <c r="I1026" s="1">
        <v>0</v>
      </c>
      <c r="J1026" s="1">
        <v>0</v>
      </c>
      <c r="K1026" s="1">
        <v>0</v>
      </c>
      <c r="L1026" s="2">
        <v>0</v>
      </c>
      <c r="M1026" s="1">
        <v>0</v>
      </c>
      <c r="N1026" s="1">
        <v>403</v>
      </c>
      <c r="O1026" s="1">
        <f>N1026*4968</f>
        <v>2002104</v>
      </c>
      <c r="P1026" s="1">
        <v>0</v>
      </c>
      <c r="Q1026" s="1">
        <f>P1026*1400</f>
        <v>0</v>
      </c>
      <c r="R1026" s="1">
        <v>0</v>
      </c>
      <c r="S1026" s="1">
        <f>R1026*3751</f>
        <v>0</v>
      </c>
      <c r="T1026" s="1">
        <v>0</v>
      </c>
      <c r="U1026" s="1">
        <v>0</v>
      </c>
      <c r="V1026" s="1">
        <v>0</v>
      </c>
      <c r="W1026" s="1">
        <v>0</v>
      </c>
      <c r="X1026" s="1">
        <v>0</v>
      </c>
      <c r="Y1026" s="1">
        <v>0</v>
      </c>
      <c r="Z1026" s="1">
        <v>0</v>
      </c>
      <c r="AA1026" s="1">
        <v>0</v>
      </c>
      <c r="AB1026" s="1">
        <v>0</v>
      </c>
      <c r="AC1026" s="1">
        <v>0</v>
      </c>
      <c r="AD1026" s="1">
        <v>0</v>
      </c>
    </row>
    <row r="1027" spans="1:30" s="20" customFormat="1" ht="36" customHeight="1" x14ac:dyDescent="0.25">
      <c r="A1027" s="2">
        <f t="shared" si="500"/>
        <v>998</v>
      </c>
      <c r="B1027" s="6">
        <f>A1027</f>
        <v>998</v>
      </c>
      <c r="C1027" s="19" t="s">
        <v>2184</v>
      </c>
      <c r="D1027" s="4">
        <f t="shared" si="496"/>
        <v>2002104</v>
      </c>
      <c r="E1027" s="1">
        <f>SUM(F1027:K1027)</f>
        <v>0</v>
      </c>
      <c r="F1027" s="1">
        <v>0</v>
      </c>
      <c r="G1027" s="1">
        <v>0</v>
      </c>
      <c r="H1027" s="1">
        <v>0</v>
      </c>
      <c r="I1027" s="1">
        <v>0</v>
      </c>
      <c r="J1027" s="1">
        <v>0</v>
      </c>
      <c r="K1027" s="1">
        <v>0</v>
      </c>
      <c r="L1027" s="2">
        <v>0</v>
      </c>
      <c r="M1027" s="1">
        <v>0</v>
      </c>
      <c r="N1027" s="1">
        <v>403</v>
      </c>
      <c r="O1027" s="1">
        <f>N1027*4968</f>
        <v>2002104</v>
      </c>
      <c r="P1027" s="1">
        <v>0</v>
      </c>
      <c r="Q1027" s="1">
        <f>P1027*1400</f>
        <v>0</v>
      </c>
      <c r="R1027" s="1">
        <v>0</v>
      </c>
      <c r="S1027" s="1">
        <f>R1027*3751</f>
        <v>0</v>
      </c>
      <c r="T1027" s="1">
        <v>0</v>
      </c>
      <c r="U1027" s="1">
        <v>0</v>
      </c>
      <c r="V1027" s="1">
        <v>0</v>
      </c>
      <c r="W1027" s="1">
        <v>0</v>
      </c>
      <c r="X1027" s="1">
        <v>0</v>
      </c>
      <c r="Y1027" s="1">
        <v>0</v>
      </c>
      <c r="Z1027" s="1">
        <v>0</v>
      </c>
      <c r="AA1027" s="1">
        <v>0</v>
      </c>
      <c r="AB1027" s="1">
        <v>0</v>
      </c>
      <c r="AC1027" s="1">
        <v>0</v>
      </c>
      <c r="AD1027" s="1">
        <v>0</v>
      </c>
    </row>
    <row r="1028" spans="1:30" s="20" customFormat="1" ht="36" customHeight="1" x14ac:dyDescent="0.25">
      <c r="A1028" s="2">
        <f t="shared" si="500"/>
        <v>999</v>
      </c>
      <c r="B1028" s="6">
        <f t="shared" si="495"/>
        <v>999</v>
      </c>
      <c r="C1028" s="19" t="s">
        <v>592</v>
      </c>
      <c r="D1028" s="4">
        <f t="shared" si="496"/>
        <v>3905734.4000000004</v>
      </c>
      <c r="E1028" s="1">
        <f t="shared" si="497"/>
        <v>637159.60000000009</v>
      </c>
      <c r="F1028" s="1">
        <f>804*383.6</f>
        <v>308414.40000000002</v>
      </c>
      <c r="G1028" s="1">
        <v>0</v>
      </c>
      <c r="H1028" s="1">
        <f>390*383.6</f>
        <v>149604</v>
      </c>
      <c r="I1028" s="1">
        <v>0</v>
      </c>
      <c r="J1028" s="1">
        <f>467*383.6</f>
        <v>179141.2</v>
      </c>
      <c r="K1028" s="1">
        <v>0</v>
      </c>
      <c r="L1028" s="2">
        <v>0</v>
      </c>
      <c r="M1028" s="1">
        <v>0</v>
      </c>
      <c r="N1028" s="1">
        <v>383.6</v>
      </c>
      <c r="O1028" s="1">
        <f>N1028*4968</f>
        <v>1905724.8</v>
      </c>
      <c r="P1028" s="1">
        <v>0</v>
      </c>
      <c r="Q1028" s="1">
        <f t="shared" si="498"/>
        <v>0</v>
      </c>
      <c r="R1028" s="1">
        <v>350</v>
      </c>
      <c r="S1028" s="1">
        <f t="shared" si="499"/>
        <v>1312850</v>
      </c>
      <c r="T1028" s="1">
        <v>0</v>
      </c>
      <c r="U1028" s="1">
        <v>0</v>
      </c>
      <c r="V1028" s="1">
        <v>0</v>
      </c>
      <c r="W1028" s="1">
        <v>50000</v>
      </c>
      <c r="X1028" s="1">
        <v>0</v>
      </c>
      <c r="Y1028" s="1">
        <v>0</v>
      </c>
      <c r="Z1028" s="1">
        <v>0</v>
      </c>
      <c r="AA1028" s="1">
        <v>0</v>
      </c>
      <c r="AB1028" s="1">
        <v>0</v>
      </c>
      <c r="AC1028" s="1">
        <v>0</v>
      </c>
      <c r="AD1028" s="1">
        <v>0</v>
      </c>
    </row>
    <row r="1029" spans="1:30" s="20" customFormat="1" ht="36" customHeight="1" x14ac:dyDescent="0.25">
      <c r="A1029" s="2">
        <f t="shared" si="500"/>
        <v>1000</v>
      </c>
      <c r="B1029" s="6">
        <f t="shared" ref="B1029" si="501">A1029</f>
        <v>1000</v>
      </c>
      <c r="C1029" s="19" t="s">
        <v>2174</v>
      </c>
      <c r="D1029" s="4">
        <f t="shared" si="496"/>
        <v>3582975</v>
      </c>
      <c r="E1029" s="1">
        <f t="shared" si="497"/>
        <v>0</v>
      </c>
      <c r="F1029" s="1">
        <v>0</v>
      </c>
      <c r="G1029" s="1">
        <v>0</v>
      </c>
      <c r="H1029" s="1">
        <v>0</v>
      </c>
      <c r="I1029" s="1">
        <v>0</v>
      </c>
      <c r="J1029" s="1">
        <v>0</v>
      </c>
      <c r="K1029" s="1">
        <v>0</v>
      </c>
      <c r="L1029" s="2">
        <v>0</v>
      </c>
      <c r="M1029" s="1">
        <v>0</v>
      </c>
      <c r="N1029" s="1">
        <v>352</v>
      </c>
      <c r="O1029" s="1">
        <f>N1029*4968</f>
        <v>1748736</v>
      </c>
      <c r="P1029" s="1">
        <v>0</v>
      </c>
      <c r="Q1029" s="1">
        <f t="shared" si="498"/>
        <v>0</v>
      </c>
      <c r="R1029" s="1">
        <v>489</v>
      </c>
      <c r="S1029" s="1">
        <f t="shared" si="499"/>
        <v>1834239</v>
      </c>
      <c r="T1029" s="1">
        <v>0</v>
      </c>
      <c r="U1029" s="1">
        <v>0</v>
      </c>
      <c r="V1029" s="1">
        <v>0</v>
      </c>
      <c r="W1029" s="1">
        <v>0</v>
      </c>
      <c r="X1029" s="1">
        <v>0</v>
      </c>
      <c r="Y1029" s="1">
        <v>0</v>
      </c>
      <c r="Z1029" s="1">
        <v>0</v>
      </c>
      <c r="AA1029" s="1">
        <v>0</v>
      </c>
      <c r="AB1029" s="1">
        <v>0</v>
      </c>
      <c r="AC1029" s="1">
        <v>0</v>
      </c>
      <c r="AD1029" s="1">
        <v>0</v>
      </c>
    </row>
    <row r="1030" spans="1:30" s="20" customFormat="1" ht="36" customHeight="1" x14ac:dyDescent="0.25">
      <c r="A1030" s="2">
        <f t="shared" si="500"/>
        <v>1001</v>
      </c>
      <c r="B1030" s="6">
        <f t="shared" si="495"/>
        <v>1001</v>
      </c>
      <c r="C1030" s="19" t="s">
        <v>2175</v>
      </c>
      <c r="D1030" s="4">
        <f t="shared" si="496"/>
        <v>3582975</v>
      </c>
      <c r="E1030" s="1">
        <f t="shared" ref="E1030" si="502">SUM(F1030:J1030)</f>
        <v>0</v>
      </c>
      <c r="F1030" s="1">
        <v>0</v>
      </c>
      <c r="G1030" s="1">
        <v>0</v>
      </c>
      <c r="H1030" s="1">
        <v>0</v>
      </c>
      <c r="I1030" s="1">
        <v>0</v>
      </c>
      <c r="J1030" s="1">
        <v>0</v>
      </c>
      <c r="K1030" s="1">
        <v>0</v>
      </c>
      <c r="L1030" s="2">
        <v>0</v>
      </c>
      <c r="M1030" s="1">
        <v>0</v>
      </c>
      <c r="N1030" s="1">
        <v>352</v>
      </c>
      <c r="O1030" s="1">
        <f>N1030*4968</f>
        <v>1748736</v>
      </c>
      <c r="P1030" s="1">
        <v>0</v>
      </c>
      <c r="Q1030" s="1">
        <f t="shared" ref="Q1030" si="503">P1030*1400</f>
        <v>0</v>
      </c>
      <c r="R1030" s="1">
        <v>489</v>
      </c>
      <c r="S1030" s="1">
        <f t="shared" ref="S1030" si="504">R1030*3751</f>
        <v>1834239</v>
      </c>
      <c r="T1030" s="1">
        <v>0</v>
      </c>
      <c r="U1030" s="1">
        <v>0</v>
      </c>
      <c r="V1030" s="1">
        <v>0</v>
      </c>
      <c r="W1030" s="1">
        <v>0</v>
      </c>
      <c r="X1030" s="1">
        <v>0</v>
      </c>
      <c r="Y1030" s="1">
        <v>0</v>
      </c>
      <c r="Z1030" s="1">
        <v>0</v>
      </c>
      <c r="AA1030" s="1">
        <v>0</v>
      </c>
      <c r="AB1030" s="1">
        <v>0</v>
      </c>
      <c r="AC1030" s="1">
        <v>0</v>
      </c>
      <c r="AD1030" s="1">
        <v>0</v>
      </c>
    </row>
    <row r="1031" spans="1:30" s="20" customFormat="1" ht="36" customHeight="1" x14ac:dyDescent="0.25">
      <c r="A1031" s="2">
        <f t="shared" si="500"/>
        <v>1002</v>
      </c>
      <c r="B1031" s="6">
        <f t="shared" ref="B1031:B1043" si="505">A1031</f>
        <v>1002</v>
      </c>
      <c r="C1031" s="19" t="s">
        <v>594</v>
      </c>
      <c r="D1031" s="4">
        <f t="shared" si="496"/>
        <v>2406520.4000000004</v>
      </c>
      <c r="E1031" s="1">
        <f t="shared" si="497"/>
        <v>2356520.4000000004</v>
      </c>
      <c r="F1031" s="1">
        <f>804*702.6</f>
        <v>564890.4</v>
      </c>
      <c r="G1031" s="1">
        <f>1693*702.6</f>
        <v>1189501.8</v>
      </c>
      <c r="H1031" s="1">
        <f>390*702.6</f>
        <v>274014</v>
      </c>
      <c r="I1031" s="1">
        <v>0</v>
      </c>
      <c r="J1031" s="1">
        <f>467*702.6</f>
        <v>328114.2</v>
      </c>
      <c r="K1031" s="1">
        <v>0</v>
      </c>
      <c r="L1031" s="2">
        <v>0</v>
      </c>
      <c r="M1031" s="1">
        <v>0</v>
      </c>
      <c r="N1031" s="1">
        <v>0</v>
      </c>
      <c r="O1031" s="1">
        <v>0</v>
      </c>
      <c r="P1031" s="1">
        <v>0</v>
      </c>
      <c r="Q1031" s="1">
        <f t="shared" si="498"/>
        <v>0</v>
      </c>
      <c r="R1031" s="1">
        <v>0</v>
      </c>
      <c r="S1031" s="1">
        <f t="shared" si="499"/>
        <v>0</v>
      </c>
      <c r="T1031" s="1">
        <v>0</v>
      </c>
      <c r="U1031" s="1">
        <v>50000</v>
      </c>
      <c r="V1031" s="1">
        <v>0</v>
      </c>
      <c r="W1031" s="1">
        <v>0</v>
      </c>
      <c r="X1031" s="1">
        <v>0</v>
      </c>
      <c r="Y1031" s="1">
        <v>0</v>
      </c>
      <c r="Z1031" s="1">
        <v>0</v>
      </c>
      <c r="AA1031" s="1">
        <v>0</v>
      </c>
      <c r="AB1031" s="1">
        <v>0</v>
      </c>
      <c r="AC1031" s="1">
        <v>0</v>
      </c>
      <c r="AD1031" s="1">
        <v>0</v>
      </c>
    </row>
    <row r="1032" spans="1:30" s="20" customFormat="1" ht="36" customHeight="1" x14ac:dyDescent="0.25">
      <c r="A1032" s="2">
        <f t="shared" si="500"/>
        <v>1003</v>
      </c>
      <c r="B1032" s="6">
        <f t="shared" si="505"/>
        <v>1003</v>
      </c>
      <c r="C1032" s="19" t="s">
        <v>595</v>
      </c>
      <c r="D1032" s="4">
        <f t="shared" si="496"/>
        <v>1886275</v>
      </c>
      <c r="E1032" s="1">
        <f t="shared" si="497"/>
        <v>1786275</v>
      </c>
      <c r="F1032" s="1">
        <v>0</v>
      </c>
      <c r="G1032" s="1">
        <f>700.5*1693</f>
        <v>1185946.5</v>
      </c>
      <c r="H1032" s="1">
        <f>390*700.5</f>
        <v>273195</v>
      </c>
      <c r="I1032" s="1">
        <v>0</v>
      </c>
      <c r="J1032" s="1">
        <f>467*700.5</f>
        <v>327133.5</v>
      </c>
      <c r="K1032" s="1">
        <v>0</v>
      </c>
      <c r="L1032" s="2">
        <v>0</v>
      </c>
      <c r="M1032" s="1">
        <v>0</v>
      </c>
      <c r="N1032" s="1">
        <v>0</v>
      </c>
      <c r="O1032" s="1">
        <v>0</v>
      </c>
      <c r="P1032" s="1">
        <v>0</v>
      </c>
      <c r="Q1032" s="1">
        <f t="shared" si="498"/>
        <v>0</v>
      </c>
      <c r="R1032" s="1">
        <v>0</v>
      </c>
      <c r="S1032" s="1">
        <f t="shared" si="499"/>
        <v>0</v>
      </c>
      <c r="T1032" s="1">
        <v>0</v>
      </c>
      <c r="U1032" s="1">
        <v>50000</v>
      </c>
      <c r="V1032" s="1">
        <v>0</v>
      </c>
      <c r="W1032" s="1">
        <v>50000</v>
      </c>
      <c r="X1032" s="1">
        <v>0</v>
      </c>
      <c r="Y1032" s="1">
        <v>0</v>
      </c>
      <c r="Z1032" s="1">
        <v>0</v>
      </c>
      <c r="AA1032" s="1">
        <v>0</v>
      </c>
      <c r="AB1032" s="1">
        <v>0</v>
      </c>
      <c r="AC1032" s="1">
        <v>0</v>
      </c>
      <c r="AD1032" s="1">
        <v>0</v>
      </c>
    </row>
    <row r="1033" spans="1:30" s="20" customFormat="1" ht="36" customHeight="1" x14ac:dyDescent="0.25">
      <c r="A1033" s="2">
        <f t="shared" si="500"/>
        <v>1004</v>
      </c>
      <c r="B1033" s="6">
        <f t="shared" ref="B1033" si="506">A1033</f>
        <v>1004</v>
      </c>
      <c r="C1033" s="19" t="s">
        <v>2178</v>
      </c>
      <c r="D1033" s="4">
        <f t="shared" si="496"/>
        <v>3689000</v>
      </c>
      <c r="E1033" s="1">
        <f t="shared" ref="E1033" si="507">SUM(F1033:J1033)</f>
        <v>0</v>
      </c>
      <c r="F1033" s="1">
        <v>0</v>
      </c>
      <c r="G1033" s="1">
        <v>0</v>
      </c>
      <c r="H1033" s="1">
        <v>0</v>
      </c>
      <c r="I1033" s="1">
        <v>0</v>
      </c>
      <c r="J1033" s="1">
        <v>0</v>
      </c>
      <c r="K1033" s="1">
        <v>0</v>
      </c>
      <c r="L1033" s="2">
        <v>0</v>
      </c>
      <c r="M1033" s="1">
        <v>0</v>
      </c>
      <c r="N1033" s="1">
        <v>355</v>
      </c>
      <c r="O1033" s="1">
        <f>N1033*7750</f>
        <v>2751250</v>
      </c>
      <c r="P1033" s="1">
        <v>0</v>
      </c>
      <c r="Q1033" s="1">
        <f t="shared" ref="Q1033" si="508">P1033*1400</f>
        <v>0</v>
      </c>
      <c r="R1033" s="1">
        <v>250</v>
      </c>
      <c r="S1033" s="1">
        <f t="shared" ref="S1033" si="509">R1033*3751</f>
        <v>937750</v>
      </c>
      <c r="T1033" s="1">
        <v>0</v>
      </c>
      <c r="U1033" s="1">
        <v>0</v>
      </c>
      <c r="V1033" s="1">
        <v>0</v>
      </c>
      <c r="W1033" s="1">
        <v>0</v>
      </c>
      <c r="X1033" s="1">
        <v>0</v>
      </c>
      <c r="Y1033" s="1">
        <v>0</v>
      </c>
      <c r="Z1033" s="1">
        <v>0</v>
      </c>
      <c r="AA1033" s="1">
        <v>0</v>
      </c>
      <c r="AB1033" s="1">
        <v>0</v>
      </c>
      <c r="AC1033" s="1">
        <v>0</v>
      </c>
      <c r="AD1033" s="1">
        <v>0</v>
      </c>
    </row>
    <row r="1034" spans="1:30" s="20" customFormat="1" ht="36" customHeight="1" x14ac:dyDescent="0.25">
      <c r="A1034" s="2">
        <f t="shared" si="500"/>
        <v>1005</v>
      </c>
      <c r="B1034" s="6">
        <f t="shared" si="505"/>
        <v>1005</v>
      </c>
      <c r="C1034" s="19" t="s">
        <v>596</v>
      </c>
      <c r="D1034" s="4">
        <f t="shared" si="496"/>
        <v>9405906</v>
      </c>
      <c r="E1034" s="1">
        <f t="shared" si="497"/>
        <v>2222806</v>
      </c>
      <c r="F1034" s="1">
        <f>804*566.32</f>
        <v>455321.28</v>
      </c>
      <c r="G1034" s="1">
        <f>1693*566.32</f>
        <v>958779.76000000013</v>
      </c>
      <c r="H1034" s="1">
        <f>390*566.32</f>
        <v>220864.80000000002</v>
      </c>
      <c r="I1034" s="1">
        <f>571*566.32</f>
        <v>323368.72000000003</v>
      </c>
      <c r="J1034" s="1">
        <f>467*566.32</f>
        <v>264471.44</v>
      </c>
      <c r="K1034" s="1">
        <v>0</v>
      </c>
      <c r="L1034" s="2">
        <v>0</v>
      </c>
      <c r="M1034" s="1">
        <v>0</v>
      </c>
      <c r="N1034" s="1">
        <v>630</v>
      </c>
      <c r="O1034" s="1">
        <f>N1034*7750</f>
        <v>4882500</v>
      </c>
      <c r="P1034" s="1">
        <v>0</v>
      </c>
      <c r="Q1034" s="1">
        <f t="shared" si="498"/>
        <v>0</v>
      </c>
      <c r="R1034" s="1">
        <v>600</v>
      </c>
      <c r="S1034" s="1">
        <f t="shared" si="499"/>
        <v>2250600</v>
      </c>
      <c r="T1034" s="1">
        <v>0</v>
      </c>
      <c r="U1034" s="1">
        <v>0</v>
      </c>
      <c r="V1034" s="1">
        <v>0</v>
      </c>
      <c r="W1034" s="1">
        <v>50000</v>
      </c>
      <c r="X1034" s="1">
        <v>0</v>
      </c>
      <c r="Y1034" s="1">
        <v>0</v>
      </c>
      <c r="Z1034" s="1">
        <v>0</v>
      </c>
      <c r="AA1034" s="1">
        <v>0</v>
      </c>
      <c r="AB1034" s="1">
        <v>0</v>
      </c>
      <c r="AC1034" s="1">
        <v>0</v>
      </c>
      <c r="AD1034" s="1">
        <v>0</v>
      </c>
    </row>
    <row r="1035" spans="1:30" s="20" customFormat="1" ht="36" customHeight="1" x14ac:dyDescent="0.25">
      <c r="A1035" s="2">
        <f t="shared" si="500"/>
        <v>1006</v>
      </c>
      <c r="B1035" s="6">
        <f t="shared" si="505"/>
        <v>1006</v>
      </c>
      <c r="C1035" s="19" t="s">
        <v>597</v>
      </c>
      <c r="D1035" s="4">
        <f t="shared" si="496"/>
        <v>8288097.5</v>
      </c>
      <c r="E1035" s="1">
        <f t="shared" si="497"/>
        <v>2062587.5</v>
      </c>
      <c r="F1035" s="1">
        <f>804*525.5</f>
        <v>422502</v>
      </c>
      <c r="G1035" s="1">
        <f>1693*525.5</f>
        <v>889671.5</v>
      </c>
      <c r="H1035" s="1">
        <f>390*525.5</f>
        <v>204945</v>
      </c>
      <c r="I1035" s="1">
        <f>571*525.5</f>
        <v>300060.5</v>
      </c>
      <c r="J1035" s="1">
        <f>467*525.5</f>
        <v>245408.5</v>
      </c>
      <c r="K1035" s="1">
        <v>0</v>
      </c>
      <c r="L1035" s="2">
        <v>0</v>
      </c>
      <c r="M1035" s="1">
        <v>0</v>
      </c>
      <c r="N1035" s="1">
        <v>550</v>
      </c>
      <c r="O1035" s="1">
        <f>N1035*7750</f>
        <v>4262500</v>
      </c>
      <c r="P1035" s="1">
        <v>0</v>
      </c>
      <c r="Q1035" s="1">
        <f t="shared" si="498"/>
        <v>0</v>
      </c>
      <c r="R1035" s="1">
        <v>510</v>
      </c>
      <c r="S1035" s="1">
        <f t="shared" si="499"/>
        <v>1913010</v>
      </c>
      <c r="T1035" s="1">
        <v>0</v>
      </c>
      <c r="U1035" s="1">
        <v>0</v>
      </c>
      <c r="V1035" s="1">
        <v>0</v>
      </c>
      <c r="W1035" s="1">
        <v>50000</v>
      </c>
      <c r="X1035" s="1">
        <v>0</v>
      </c>
      <c r="Y1035" s="1">
        <v>0</v>
      </c>
      <c r="Z1035" s="1">
        <v>0</v>
      </c>
      <c r="AA1035" s="1">
        <v>0</v>
      </c>
      <c r="AB1035" s="1">
        <v>0</v>
      </c>
      <c r="AC1035" s="1">
        <v>0</v>
      </c>
      <c r="AD1035" s="1">
        <v>0</v>
      </c>
    </row>
    <row r="1036" spans="1:30" s="20" customFormat="1" ht="36" customHeight="1" x14ac:dyDescent="0.25">
      <c r="A1036" s="2">
        <f t="shared" si="500"/>
        <v>1007</v>
      </c>
      <c r="B1036" s="6">
        <f t="shared" ref="B1036:B1039" si="510">A1036</f>
        <v>1007</v>
      </c>
      <c r="C1036" s="19" t="s">
        <v>2179</v>
      </c>
      <c r="D1036" s="4">
        <f t="shared" si="496"/>
        <v>8445600</v>
      </c>
      <c r="E1036" s="1">
        <f t="shared" ref="E1036:E1039" si="511">SUM(F1036:J1036)</f>
        <v>0</v>
      </c>
      <c r="F1036" s="1">
        <v>0</v>
      </c>
      <c r="G1036" s="1">
        <v>0</v>
      </c>
      <c r="H1036" s="1">
        <v>0</v>
      </c>
      <c r="I1036" s="1">
        <v>0</v>
      </c>
      <c r="J1036" s="1">
        <v>0</v>
      </c>
      <c r="K1036" s="1">
        <v>0</v>
      </c>
      <c r="L1036" s="2">
        <v>0</v>
      </c>
      <c r="M1036" s="1">
        <v>0</v>
      </c>
      <c r="N1036" s="1">
        <v>1700</v>
      </c>
      <c r="O1036" s="1">
        <f>N1036*4968</f>
        <v>8445600</v>
      </c>
      <c r="P1036" s="1">
        <v>0</v>
      </c>
      <c r="Q1036" s="1">
        <f t="shared" ref="Q1036:Q1039" si="512">P1036*1400</f>
        <v>0</v>
      </c>
      <c r="R1036" s="1">
        <v>0</v>
      </c>
      <c r="S1036" s="1">
        <f t="shared" ref="S1036:S1039" si="513">R1036*3751</f>
        <v>0</v>
      </c>
      <c r="T1036" s="1">
        <v>0</v>
      </c>
      <c r="U1036" s="1">
        <v>0</v>
      </c>
      <c r="V1036" s="1">
        <v>0</v>
      </c>
      <c r="W1036" s="1">
        <v>0</v>
      </c>
      <c r="X1036" s="1">
        <v>0</v>
      </c>
      <c r="Y1036" s="1">
        <v>0</v>
      </c>
      <c r="Z1036" s="1">
        <v>0</v>
      </c>
      <c r="AA1036" s="1">
        <v>0</v>
      </c>
      <c r="AB1036" s="1">
        <v>0</v>
      </c>
      <c r="AC1036" s="1">
        <v>0</v>
      </c>
      <c r="AD1036" s="1">
        <v>0</v>
      </c>
    </row>
    <row r="1037" spans="1:30" s="20" customFormat="1" ht="36" customHeight="1" x14ac:dyDescent="0.25">
      <c r="A1037" s="2">
        <f t="shared" si="500"/>
        <v>1008</v>
      </c>
      <c r="B1037" s="6">
        <f t="shared" si="510"/>
        <v>1008</v>
      </c>
      <c r="C1037" s="19" t="s">
        <v>2185</v>
      </c>
      <c r="D1037" s="4">
        <f t="shared" si="496"/>
        <v>1604664</v>
      </c>
      <c r="E1037" s="1">
        <f t="shared" si="511"/>
        <v>0</v>
      </c>
      <c r="F1037" s="1">
        <v>0</v>
      </c>
      <c r="G1037" s="1">
        <v>0</v>
      </c>
      <c r="H1037" s="1">
        <v>0</v>
      </c>
      <c r="I1037" s="1">
        <v>0</v>
      </c>
      <c r="J1037" s="1">
        <v>0</v>
      </c>
      <c r="K1037" s="1">
        <v>0</v>
      </c>
      <c r="L1037" s="2">
        <v>0</v>
      </c>
      <c r="M1037" s="1">
        <v>0</v>
      </c>
      <c r="N1037" s="1">
        <v>323</v>
      </c>
      <c r="O1037" s="1">
        <f>N1037*4968</f>
        <v>1604664</v>
      </c>
      <c r="P1037" s="1">
        <v>0</v>
      </c>
      <c r="Q1037" s="1">
        <f t="shared" si="512"/>
        <v>0</v>
      </c>
      <c r="R1037" s="1">
        <v>0</v>
      </c>
      <c r="S1037" s="1">
        <f t="shared" si="513"/>
        <v>0</v>
      </c>
      <c r="T1037" s="1">
        <v>0</v>
      </c>
      <c r="U1037" s="1">
        <v>0</v>
      </c>
      <c r="V1037" s="1">
        <v>0</v>
      </c>
      <c r="W1037" s="1">
        <v>0</v>
      </c>
      <c r="X1037" s="1">
        <v>0</v>
      </c>
      <c r="Y1037" s="1">
        <v>0</v>
      </c>
      <c r="Z1037" s="1">
        <v>0</v>
      </c>
      <c r="AA1037" s="1">
        <v>0</v>
      </c>
      <c r="AB1037" s="1">
        <v>0</v>
      </c>
      <c r="AC1037" s="1">
        <v>0</v>
      </c>
      <c r="AD1037" s="1">
        <v>0</v>
      </c>
    </row>
    <row r="1038" spans="1:30" s="20" customFormat="1" ht="36" customHeight="1" x14ac:dyDescent="0.25">
      <c r="A1038" s="2">
        <f t="shared" si="500"/>
        <v>1009</v>
      </c>
      <c r="B1038" s="6">
        <f t="shared" si="510"/>
        <v>1009</v>
      </c>
      <c r="C1038" s="19" t="s">
        <v>2186</v>
      </c>
      <c r="D1038" s="4">
        <f t="shared" si="496"/>
        <v>3224003.5</v>
      </c>
      <c r="E1038" s="1">
        <f t="shared" si="511"/>
        <v>1087443.5</v>
      </c>
      <c r="F1038" s="1">
        <f>804*435.5</f>
        <v>350142</v>
      </c>
      <c r="G1038" s="1">
        <f>1693*435.5</f>
        <v>737301.5</v>
      </c>
      <c r="H1038" s="1">
        <v>0</v>
      </c>
      <c r="I1038" s="1">
        <v>0</v>
      </c>
      <c r="J1038" s="1">
        <v>0</v>
      </c>
      <c r="K1038" s="1">
        <v>0</v>
      </c>
      <c r="L1038" s="2">
        <v>0</v>
      </c>
      <c r="M1038" s="1">
        <v>0</v>
      </c>
      <c r="N1038" s="1">
        <v>420</v>
      </c>
      <c r="O1038" s="1">
        <f>N1038*4968</f>
        <v>2086560</v>
      </c>
      <c r="P1038" s="1">
        <v>0</v>
      </c>
      <c r="Q1038" s="1">
        <f t="shared" si="512"/>
        <v>0</v>
      </c>
      <c r="R1038" s="1">
        <v>0</v>
      </c>
      <c r="S1038" s="1">
        <f t="shared" si="513"/>
        <v>0</v>
      </c>
      <c r="T1038" s="1">
        <v>0</v>
      </c>
      <c r="U1038" s="1">
        <v>50000</v>
      </c>
      <c r="V1038" s="1">
        <v>0</v>
      </c>
      <c r="W1038" s="1">
        <v>0</v>
      </c>
      <c r="X1038" s="1">
        <v>0</v>
      </c>
      <c r="Y1038" s="1">
        <v>0</v>
      </c>
      <c r="Z1038" s="1">
        <v>0</v>
      </c>
      <c r="AA1038" s="1">
        <v>0</v>
      </c>
      <c r="AB1038" s="1">
        <v>0</v>
      </c>
      <c r="AC1038" s="1">
        <v>0</v>
      </c>
      <c r="AD1038" s="1">
        <v>0</v>
      </c>
    </row>
    <row r="1039" spans="1:30" s="20" customFormat="1" ht="36" customHeight="1" x14ac:dyDescent="0.25">
      <c r="A1039" s="2">
        <f t="shared" si="500"/>
        <v>1010</v>
      </c>
      <c r="B1039" s="6">
        <f t="shared" si="510"/>
        <v>1010</v>
      </c>
      <c r="C1039" s="19" t="s">
        <v>2187</v>
      </c>
      <c r="D1039" s="4">
        <f t="shared" si="496"/>
        <v>1867968</v>
      </c>
      <c r="E1039" s="1">
        <f t="shared" si="511"/>
        <v>0</v>
      </c>
      <c r="F1039" s="1">
        <v>0</v>
      </c>
      <c r="G1039" s="1">
        <v>0</v>
      </c>
      <c r="H1039" s="1">
        <v>0</v>
      </c>
      <c r="I1039" s="1">
        <v>0</v>
      </c>
      <c r="J1039" s="1">
        <v>0</v>
      </c>
      <c r="K1039" s="1">
        <v>0</v>
      </c>
      <c r="L1039" s="2">
        <v>0</v>
      </c>
      <c r="M1039" s="1">
        <v>0</v>
      </c>
      <c r="N1039" s="1">
        <v>376</v>
      </c>
      <c r="O1039" s="1">
        <f>N1039*4968</f>
        <v>1867968</v>
      </c>
      <c r="P1039" s="1">
        <v>0</v>
      </c>
      <c r="Q1039" s="1">
        <f t="shared" si="512"/>
        <v>0</v>
      </c>
      <c r="R1039" s="1">
        <v>0</v>
      </c>
      <c r="S1039" s="1">
        <f t="shared" si="513"/>
        <v>0</v>
      </c>
      <c r="T1039" s="1">
        <v>0</v>
      </c>
      <c r="U1039" s="1">
        <v>0</v>
      </c>
      <c r="V1039" s="1">
        <v>0</v>
      </c>
      <c r="W1039" s="1">
        <v>0</v>
      </c>
      <c r="X1039" s="1">
        <v>0</v>
      </c>
      <c r="Y1039" s="1">
        <v>0</v>
      </c>
      <c r="Z1039" s="1">
        <v>0</v>
      </c>
      <c r="AA1039" s="1">
        <v>0</v>
      </c>
      <c r="AB1039" s="1">
        <v>0</v>
      </c>
      <c r="AC1039" s="1">
        <v>0</v>
      </c>
      <c r="AD1039" s="1">
        <v>0</v>
      </c>
    </row>
    <row r="1040" spans="1:30" s="20" customFormat="1" ht="36" customHeight="1" x14ac:dyDescent="0.25">
      <c r="A1040" s="2">
        <f t="shared" si="500"/>
        <v>1011</v>
      </c>
      <c r="B1040" s="6">
        <f t="shared" si="505"/>
        <v>1011</v>
      </c>
      <c r="C1040" s="19" t="s">
        <v>2188</v>
      </c>
      <c r="D1040" s="4">
        <f t="shared" si="496"/>
        <v>6054638.0999999996</v>
      </c>
      <c r="E1040" s="1">
        <f t="shared" si="497"/>
        <v>942118.10000000009</v>
      </c>
      <c r="F1040" s="1">
        <f>804*377.3</f>
        <v>303349.2</v>
      </c>
      <c r="G1040" s="1">
        <f>1693*377.3</f>
        <v>638768.9</v>
      </c>
      <c r="H1040" s="1">
        <v>0</v>
      </c>
      <c r="I1040" s="1">
        <v>0</v>
      </c>
      <c r="J1040" s="1">
        <v>0</v>
      </c>
      <c r="K1040" s="1">
        <v>0</v>
      </c>
      <c r="L1040" s="2">
        <v>0</v>
      </c>
      <c r="M1040" s="1">
        <v>0</v>
      </c>
      <c r="N1040" s="1">
        <v>415</v>
      </c>
      <c r="O1040" s="1">
        <f>N1040*4968</f>
        <v>2061720</v>
      </c>
      <c r="P1040" s="1">
        <v>0</v>
      </c>
      <c r="Q1040" s="1">
        <f t="shared" si="498"/>
        <v>0</v>
      </c>
      <c r="R1040" s="1">
        <v>800</v>
      </c>
      <c r="S1040" s="1">
        <f t="shared" si="499"/>
        <v>3000800</v>
      </c>
      <c r="T1040" s="1">
        <v>0</v>
      </c>
      <c r="U1040" s="1">
        <v>50000</v>
      </c>
      <c r="V1040" s="1">
        <v>0</v>
      </c>
      <c r="W1040" s="1">
        <v>0</v>
      </c>
      <c r="X1040" s="1">
        <v>0</v>
      </c>
      <c r="Y1040" s="1">
        <v>0</v>
      </c>
      <c r="Z1040" s="1">
        <v>0</v>
      </c>
      <c r="AA1040" s="1">
        <v>0</v>
      </c>
      <c r="AB1040" s="1">
        <v>0</v>
      </c>
      <c r="AC1040" s="1">
        <v>0</v>
      </c>
      <c r="AD1040" s="1">
        <v>0</v>
      </c>
    </row>
    <row r="1041" spans="1:30" s="20" customFormat="1" ht="36" customHeight="1" x14ac:dyDescent="0.25">
      <c r="A1041" s="2">
        <f t="shared" si="500"/>
        <v>1012</v>
      </c>
      <c r="B1041" s="6">
        <f t="shared" si="505"/>
        <v>1012</v>
      </c>
      <c r="C1041" s="19" t="s">
        <v>598</v>
      </c>
      <c r="D1041" s="4">
        <f t="shared" si="496"/>
        <v>1621039</v>
      </c>
      <c r="E1041" s="1">
        <f t="shared" si="497"/>
        <v>1521039</v>
      </c>
      <c r="F1041" s="1">
        <f>804*453.5</f>
        <v>364614</v>
      </c>
      <c r="G1041" s="1">
        <f>1693*453.5</f>
        <v>767775.5</v>
      </c>
      <c r="H1041" s="1">
        <f>390*453.5</f>
        <v>176865</v>
      </c>
      <c r="I1041" s="1">
        <v>0</v>
      </c>
      <c r="J1041" s="1">
        <f>467*453.5</f>
        <v>211784.5</v>
      </c>
      <c r="K1041" s="1">
        <v>0</v>
      </c>
      <c r="L1041" s="2">
        <v>0</v>
      </c>
      <c r="M1041" s="1">
        <v>0</v>
      </c>
      <c r="N1041" s="1">
        <v>0</v>
      </c>
      <c r="O1041" s="1">
        <v>0</v>
      </c>
      <c r="P1041" s="1">
        <v>0</v>
      </c>
      <c r="Q1041" s="1">
        <f t="shared" si="498"/>
        <v>0</v>
      </c>
      <c r="R1041" s="1">
        <v>0</v>
      </c>
      <c r="S1041" s="1">
        <f t="shared" si="499"/>
        <v>0</v>
      </c>
      <c r="T1041" s="1">
        <v>0</v>
      </c>
      <c r="U1041" s="1">
        <v>50000</v>
      </c>
      <c r="V1041" s="1">
        <v>0</v>
      </c>
      <c r="W1041" s="1">
        <v>50000</v>
      </c>
      <c r="X1041" s="1">
        <v>0</v>
      </c>
      <c r="Y1041" s="1">
        <v>0</v>
      </c>
      <c r="Z1041" s="1">
        <v>0</v>
      </c>
      <c r="AA1041" s="1">
        <v>0</v>
      </c>
      <c r="AB1041" s="1">
        <v>0</v>
      </c>
      <c r="AC1041" s="1">
        <v>0</v>
      </c>
      <c r="AD1041" s="1">
        <v>0</v>
      </c>
    </row>
    <row r="1042" spans="1:30" s="20" customFormat="1" ht="36" customHeight="1" x14ac:dyDescent="0.25">
      <c r="A1042" s="2">
        <f t="shared" si="500"/>
        <v>1013</v>
      </c>
      <c r="B1042" s="6">
        <f t="shared" si="505"/>
        <v>1013</v>
      </c>
      <c r="C1042" s="19" t="s">
        <v>599</v>
      </c>
      <c r="D1042" s="4">
        <f t="shared" si="496"/>
        <v>3035196.3999999994</v>
      </c>
      <c r="E1042" s="1">
        <f t="shared" si="497"/>
        <v>1526432.4999999998</v>
      </c>
      <c r="F1042" s="1">
        <f>804*388.9</f>
        <v>312675.59999999998</v>
      </c>
      <c r="G1042" s="1">
        <f>1693*388.9</f>
        <v>658407.69999999995</v>
      </c>
      <c r="H1042" s="1">
        <f>390*388.9</f>
        <v>151671</v>
      </c>
      <c r="I1042" s="1">
        <f>571*388.9</f>
        <v>222061.9</v>
      </c>
      <c r="J1042" s="1">
        <f>467*388.9</f>
        <v>181616.3</v>
      </c>
      <c r="K1042" s="1">
        <v>0</v>
      </c>
      <c r="L1042" s="2">
        <v>0</v>
      </c>
      <c r="M1042" s="1">
        <v>0</v>
      </c>
      <c r="N1042" s="1">
        <v>0</v>
      </c>
      <c r="O1042" s="1">
        <v>0</v>
      </c>
      <c r="P1042" s="1">
        <v>0</v>
      </c>
      <c r="Q1042" s="1">
        <f t="shared" si="498"/>
        <v>0</v>
      </c>
      <c r="R1042" s="1">
        <v>388.9</v>
      </c>
      <c r="S1042" s="1">
        <f t="shared" si="499"/>
        <v>1458763.9</v>
      </c>
      <c r="T1042" s="1">
        <v>0</v>
      </c>
      <c r="U1042" s="1">
        <v>0</v>
      </c>
      <c r="V1042" s="1">
        <v>0</v>
      </c>
      <c r="W1042" s="1">
        <v>50000</v>
      </c>
      <c r="X1042" s="1">
        <v>0</v>
      </c>
      <c r="Y1042" s="1">
        <v>0</v>
      </c>
      <c r="Z1042" s="1">
        <v>0</v>
      </c>
      <c r="AA1042" s="1">
        <v>0</v>
      </c>
      <c r="AB1042" s="1">
        <v>0</v>
      </c>
      <c r="AC1042" s="1">
        <v>0</v>
      </c>
      <c r="AD1042" s="1">
        <v>0</v>
      </c>
    </row>
    <row r="1043" spans="1:30" s="20" customFormat="1" ht="36" customHeight="1" x14ac:dyDescent="0.25">
      <c r="A1043" s="2">
        <f t="shared" si="500"/>
        <v>1014</v>
      </c>
      <c r="B1043" s="6">
        <f t="shared" si="505"/>
        <v>1014</v>
      </c>
      <c r="C1043" s="19" t="s">
        <v>2189</v>
      </c>
      <c r="D1043" s="4">
        <f t="shared" si="496"/>
        <v>3148505.8</v>
      </c>
      <c r="E1043" s="1">
        <f t="shared" si="497"/>
        <v>947361.79999999993</v>
      </c>
      <c r="F1043" s="1">
        <f>804*379.4</f>
        <v>305037.59999999998</v>
      </c>
      <c r="G1043" s="1">
        <f>1693*379.4</f>
        <v>642324.19999999995</v>
      </c>
      <c r="H1043" s="1">
        <v>0</v>
      </c>
      <c r="I1043" s="1">
        <v>0</v>
      </c>
      <c r="J1043" s="1">
        <v>0</v>
      </c>
      <c r="K1043" s="1">
        <v>0</v>
      </c>
      <c r="L1043" s="2">
        <v>0</v>
      </c>
      <c r="M1043" s="1">
        <v>0</v>
      </c>
      <c r="N1043" s="1">
        <v>433</v>
      </c>
      <c r="O1043" s="1">
        <f>N1043*4968</f>
        <v>2151144</v>
      </c>
      <c r="P1043" s="1">
        <v>0</v>
      </c>
      <c r="Q1043" s="1">
        <f t="shared" si="498"/>
        <v>0</v>
      </c>
      <c r="R1043" s="1">
        <v>0</v>
      </c>
      <c r="S1043" s="1">
        <f t="shared" si="499"/>
        <v>0</v>
      </c>
      <c r="T1043" s="1">
        <v>0</v>
      </c>
      <c r="U1043" s="1">
        <v>50000</v>
      </c>
      <c r="V1043" s="1">
        <v>0</v>
      </c>
      <c r="W1043" s="1">
        <v>0</v>
      </c>
      <c r="X1043" s="1">
        <v>0</v>
      </c>
      <c r="Y1043" s="1">
        <v>0</v>
      </c>
      <c r="Z1043" s="1">
        <v>0</v>
      </c>
      <c r="AA1043" s="1">
        <v>0</v>
      </c>
      <c r="AB1043" s="1">
        <v>0</v>
      </c>
      <c r="AC1043" s="1">
        <v>0</v>
      </c>
      <c r="AD1043" s="1">
        <v>0</v>
      </c>
    </row>
    <row r="1044" spans="1:30" s="20" customFormat="1" ht="36" customHeight="1" x14ac:dyDescent="0.25">
      <c r="A1044" s="2">
        <f t="shared" si="500"/>
        <v>1015</v>
      </c>
      <c r="B1044" s="6">
        <f t="shared" ref="B1044" si="514">A1044</f>
        <v>1015</v>
      </c>
      <c r="C1044" s="19" t="s">
        <v>2190</v>
      </c>
      <c r="D1044" s="4">
        <f t="shared" si="496"/>
        <v>3167061.6</v>
      </c>
      <c r="E1044" s="1">
        <f t="shared" ref="E1044" si="515">SUM(F1044:J1044)</f>
        <v>980821.60000000009</v>
      </c>
      <c r="F1044" s="1">
        <f>804*392.8</f>
        <v>315811.20000000001</v>
      </c>
      <c r="G1044" s="1">
        <f>1693*392.8</f>
        <v>665010.4</v>
      </c>
      <c r="H1044" s="1">
        <v>0</v>
      </c>
      <c r="I1044" s="1">
        <v>0</v>
      </c>
      <c r="J1044" s="1">
        <v>0</v>
      </c>
      <c r="K1044" s="1">
        <v>0</v>
      </c>
      <c r="L1044" s="2">
        <v>0</v>
      </c>
      <c r="M1044" s="1">
        <v>0</v>
      </c>
      <c r="N1044" s="1">
        <v>430</v>
      </c>
      <c r="O1044" s="1">
        <f>N1044*4968</f>
        <v>2136240</v>
      </c>
      <c r="P1044" s="1">
        <v>0</v>
      </c>
      <c r="Q1044" s="1">
        <f t="shared" ref="Q1044" si="516">P1044*1400</f>
        <v>0</v>
      </c>
      <c r="R1044" s="1">
        <v>0</v>
      </c>
      <c r="S1044" s="1">
        <f t="shared" ref="S1044" si="517">R1044*3751</f>
        <v>0</v>
      </c>
      <c r="T1044" s="1">
        <v>0</v>
      </c>
      <c r="U1044" s="1">
        <v>50000</v>
      </c>
      <c r="V1044" s="1">
        <v>0</v>
      </c>
      <c r="W1044" s="1">
        <v>0</v>
      </c>
      <c r="X1044" s="1">
        <v>0</v>
      </c>
      <c r="Y1044" s="1">
        <v>0</v>
      </c>
      <c r="Z1044" s="1">
        <v>0</v>
      </c>
      <c r="AA1044" s="1">
        <v>0</v>
      </c>
      <c r="AB1044" s="1">
        <v>0</v>
      </c>
      <c r="AC1044" s="1">
        <v>0</v>
      </c>
      <c r="AD1044" s="1">
        <v>0</v>
      </c>
    </row>
    <row r="1045" spans="1:30" s="20" customFormat="1" ht="54.95" customHeight="1" x14ac:dyDescent="0.25">
      <c r="A1045" s="3"/>
      <c r="B1045" s="47" t="s">
        <v>1983</v>
      </c>
      <c r="C1045" s="48"/>
      <c r="D1045" s="4">
        <f>SUM(D1046:D1051)</f>
        <v>11022258.300000001</v>
      </c>
      <c r="E1045" s="4">
        <f t="shared" ref="E1045:AD1045" si="518">SUM(E1046:E1051)</f>
        <v>1352975.2999999998</v>
      </c>
      <c r="F1045" s="4">
        <f t="shared" si="518"/>
        <v>983694</v>
      </c>
      <c r="G1045" s="4">
        <f t="shared" si="518"/>
        <v>0</v>
      </c>
      <c r="H1045" s="4">
        <f t="shared" si="518"/>
        <v>168051</v>
      </c>
      <c r="I1045" s="4">
        <f t="shared" si="518"/>
        <v>0</v>
      </c>
      <c r="J1045" s="4">
        <f t="shared" si="518"/>
        <v>201230.3</v>
      </c>
      <c r="K1045" s="4">
        <f t="shared" si="518"/>
        <v>0</v>
      </c>
      <c r="L1045" s="17">
        <f t="shared" si="518"/>
        <v>0</v>
      </c>
      <c r="M1045" s="4">
        <f t="shared" si="518"/>
        <v>0</v>
      </c>
      <c r="N1045" s="4">
        <f t="shared" si="518"/>
        <v>880</v>
      </c>
      <c r="O1045" s="4">
        <f t="shared" si="518"/>
        <v>6820000</v>
      </c>
      <c r="P1045" s="4">
        <f t="shared" si="518"/>
        <v>0</v>
      </c>
      <c r="Q1045" s="4">
        <f t="shared" si="518"/>
        <v>0</v>
      </c>
      <c r="R1045" s="4">
        <f t="shared" si="518"/>
        <v>533</v>
      </c>
      <c r="S1045" s="4">
        <f t="shared" si="518"/>
        <v>1999283</v>
      </c>
      <c r="T1045" s="4">
        <f t="shared" si="518"/>
        <v>450000</v>
      </c>
      <c r="U1045" s="4">
        <f t="shared" si="518"/>
        <v>200000</v>
      </c>
      <c r="V1045" s="4">
        <f t="shared" si="518"/>
        <v>0</v>
      </c>
      <c r="W1045" s="4">
        <f t="shared" si="518"/>
        <v>200000</v>
      </c>
      <c r="X1045" s="4">
        <f t="shared" si="518"/>
        <v>0</v>
      </c>
      <c r="Y1045" s="4">
        <f t="shared" si="518"/>
        <v>0</v>
      </c>
      <c r="Z1045" s="4">
        <f t="shared" si="518"/>
        <v>0</v>
      </c>
      <c r="AA1045" s="4">
        <f t="shared" si="518"/>
        <v>0</v>
      </c>
      <c r="AB1045" s="4">
        <f t="shared" si="518"/>
        <v>0</v>
      </c>
      <c r="AC1045" s="4">
        <f t="shared" si="518"/>
        <v>0</v>
      </c>
      <c r="AD1045" s="4">
        <f t="shared" si="518"/>
        <v>0</v>
      </c>
    </row>
    <row r="1046" spans="1:30" s="20" customFormat="1" ht="36" customHeight="1" x14ac:dyDescent="0.25">
      <c r="A1046" s="2">
        <f>ROW()-ROW($A$11)-19</f>
        <v>1016</v>
      </c>
      <c r="B1046" s="6">
        <f>A1046</f>
        <v>1016</v>
      </c>
      <c r="C1046" s="19" t="s">
        <v>2477</v>
      </c>
      <c r="D1046" s="4">
        <f t="shared" ref="D1046:D1051" si="519">E1046+M1046+O1046+Q1046+S1046+T1046+U1046+V1046+W1046+X1046+Z1046+AA1046+AB1046+AC1046+AD1046</f>
        <v>815724.89999999991</v>
      </c>
      <c r="E1046" s="1">
        <f>SUM(F1046:K1046)</f>
        <v>715724.89999999991</v>
      </c>
      <c r="F1046" s="1">
        <f>804*430.9</f>
        <v>346443.6</v>
      </c>
      <c r="G1046" s="1">
        <v>0</v>
      </c>
      <c r="H1046" s="1">
        <f>390*430.9</f>
        <v>168051</v>
      </c>
      <c r="I1046" s="1">
        <v>0</v>
      </c>
      <c r="J1046" s="1">
        <f>467*430.9</f>
        <v>201230.3</v>
      </c>
      <c r="K1046" s="1">
        <v>0</v>
      </c>
      <c r="L1046" s="2">
        <v>0</v>
      </c>
      <c r="M1046" s="1">
        <v>0</v>
      </c>
      <c r="N1046" s="1">
        <v>0</v>
      </c>
      <c r="O1046" s="1">
        <v>0</v>
      </c>
      <c r="P1046" s="1">
        <v>0</v>
      </c>
      <c r="Q1046" s="1">
        <f>P1046*1400</f>
        <v>0</v>
      </c>
      <c r="R1046" s="1">
        <v>0</v>
      </c>
      <c r="S1046" s="1">
        <f>R1046*3751</f>
        <v>0</v>
      </c>
      <c r="T1046" s="1">
        <v>0</v>
      </c>
      <c r="U1046" s="1">
        <v>50000</v>
      </c>
      <c r="V1046" s="1">
        <v>0</v>
      </c>
      <c r="W1046" s="1">
        <v>50000</v>
      </c>
      <c r="X1046" s="1">
        <v>0</v>
      </c>
      <c r="Y1046" s="1">
        <v>0</v>
      </c>
      <c r="Z1046" s="1">
        <v>0</v>
      </c>
      <c r="AA1046" s="1">
        <v>0</v>
      </c>
      <c r="AB1046" s="1">
        <v>0</v>
      </c>
      <c r="AC1046" s="1">
        <v>0</v>
      </c>
      <c r="AD1046" s="1">
        <v>0</v>
      </c>
    </row>
    <row r="1047" spans="1:30" s="20" customFormat="1" ht="36" customHeight="1" x14ac:dyDescent="0.25">
      <c r="A1047" s="2">
        <f t="shared" ref="A1047:A1051" si="520">ROW()-ROW($A$11)-19</f>
        <v>1017</v>
      </c>
      <c r="B1047" s="6">
        <f t="shared" ref="B1047" si="521">A1047</f>
        <v>1017</v>
      </c>
      <c r="C1047" s="19" t="s">
        <v>2196</v>
      </c>
      <c r="D1047" s="4">
        <f t="shared" si="519"/>
        <v>3301500</v>
      </c>
      <c r="E1047" s="1">
        <f t="shared" ref="E1047" si="522">SUM(F1047:J1047)</f>
        <v>0</v>
      </c>
      <c r="F1047" s="1">
        <v>0</v>
      </c>
      <c r="G1047" s="1">
        <v>0</v>
      </c>
      <c r="H1047" s="1">
        <v>0</v>
      </c>
      <c r="I1047" s="1">
        <v>0</v>
      </c>
      <c r="J1047" s="1">
        <v>0</v>
      </c>
      <c r="K1047" s="1">
        <v>0</v>
      </c>
      <c r="L1047" s="2">
        <v>0</v>
      </c>
      <c r="M1047" s="1">
        <v>0</v>
      </c>
      <c r="N1047" s="1">
        <v>426</v>
      </c>
      <c r="O1047" s="1">
        <f>N1047*7750</f>
        <v>3301500</v>
      </c>
      <c r="P1047" s="1">
        <v>0</v>
      </c>
      <c r="Q1047" s="1">
        <f t="shared" ref="Q1047" si="523">P1047*1400</f>
        <v>0</v>
      </c>
      <c r="R1047" s="1">
        <v>0</v>
      </c>
      <c r="S1047" s="1">
        <f t="shared" ref="S1047" si="524">R1047*3751</f>
        <v>0</v>
      </c>
      <c r="T1047" s="1">
        <v>0</v>
      </c>
      <c r="U1047" s="1">
        <v>0</v>
      </c>
      <c r="V1047" s="1">
        <v>0</v>
      </c>
      <c r="W1047" s="1">
        <v>0</v>
      </c>
      <c r="X1047" s="1">
        <v>0</v>
      </c>
      <c r="Y1047" s="1">
        <v>0</v>
      </c>
      <c r="Z1047" s="1">
        <v>0</v>
      </c>
      <c r="AA1047" s="1">
        <v>0</v>
      </c>
      <c r="AB1047" s="1">
        <v>0</v>
      </c>
      <c r="AC1047" s="1">
        <v>0</v>
      </c>
      <c r="AD1047" s="1">
        <v>0</v>
      </c>
    </row>
    <row r="1048" spans="1:30" s="20" customFormat="1" ht="36" customHeight="1" x14ac:dyDescent="0.25">
      <c r="A1048" s="2">
        <f t="shared" si="520"/>
        <v>1018</v>
      </c>
      <c r="B1048" s="6">
        <f t="shared" ref="B1048" si="525">A1048</f>
        <v>1018</v>
      </c>
      <c r="C1048" s="19" t="s">
        <v>2197</v>
      </c>
      <c r="D1048" s="4">
        <f t="shared" si="519"/>
        <v>3217583</v>
      </c>
      <c r="E1048" s="1">
        <f t="shared" ref="E1048" si="526">SUM(F1048:J1048)</f>
        <v>0</v>
      </c>
      <c r="F1048" s="1">
        <v>0</v>
      </c>
      <c r="G1048" s="1">
        <v>0</v>
      </c>
      <c r="H1048" s="1">
        <v>0</v>
      </c>
      <c r="I1048" s="1">
        <v>0</v>
      </c>
      <c r="J1048" s="1">
        <v>0</v>
      </c>
      <c r="K1048" s="1">
        <v>0</v>
      </c>
      <c r="L1048" s="2">
        <v>0</v>
      </c>
      <c r="M1048" s="1">
        <v>0</v>
      </c>
      <c r="N1048" s="1">
        <v>254</v>
      </c>
      <c r="O1048" s="1">
        <f>N1048*7750</f>
        <v>1968500</v>
      </c>
      <c r="P1048" s="1">
        <v>0</v>
      </c>
      <c r="Q1048" s="1">
        <f t="shared" ref="Q1048" si="527">P1048*1400</f>
        <v>0</v>
      </c>
      <c r="R1048" s="1">
        <v>333</v>
      </c>
      <c r="S1048" s="1">
        <f t="shared" ref="S1048" si="528">R1048*3751</f>
        <v>1249083</v>
      </c>
      <c r="T1048" s="1">
        <v>0</v>
      </c>
      <c r="U1048" s="1">
        <v>0</v>
      </c>
      <c r="V1048" s="1">
        <v>0</v>
      </c>
      <c r="W1048" s="1">
        <v>0</v>
      </c>
      <c r="X1048" s="1">
        <v>0</v>
      </c>
      <c r="Y1048" s="1">
        <v>0</v>
      </c>
      <c r="Z1048" s="1">
        <v>0</v>
      </c>
      <c r="AA1048" s="1">
        <v>0</v>
      </c>
      <c r="AB1048" s="1">
        <v>0</v>
      </c>
      <c r="AC1048" s="1">
        <v>0</v>
      </c>
      <c r="AD1048" s="1">
        <v>0</v>
      </c>
    </row>
    <row r="1049" spans="1:30" s="20" customFormat="1" ht="36" customHeight="1" x14ac:dyDescent="0.25">
      <c r="A1049" s="2">
        <f t="shared" si="520"/>
        <v>1019</v>
      </c>
      <c r="B1049" s="6">
        <f>A1049</f>
        <v>1019</v>
      </c>
      <c r="C1049" s="19" t="s">
        <v>2476</v>
      </c>
      <c r="D1049" s="4">
        <f t="shared" si="519"/>
        <v>545711.19999999995</v>
      </c>
      <c r="E1049" s="1">
        <f>SUM(F1049:K1049)</f>
        <v>295711.2</v>
      </c>
      <c r="F1049" s="1">
        <f>804*367.8</f>
        <v>295711.2</v>
      </c>
      <c r="G1049" s="1">
        <v>0</v>
      </c>
      <c r="H1049" s="1">
        <v>0</v>
      </c>
      <c r="I1049" s="1">
        <v>0</v>
      </c>
      <c r="J1049" s="1">
        <v>0</v>
      </c>
      <c r="K1049" s="1">
        <v>0</v>
      </c>
      <c r="L1049" s="2">
        <v>0</v>
      </c>
      <c r="M1049" s="1">
        <v>0</v>
      </c>
      <c r="N1049" s="1">
        <v>0</v>
      </c>
      <c r="O1049" s="1">
        <v>0</v>
      </c>
      <c r="P1049" s="1">
        <v>0</v>
      </c>
      <c r="Q1049" s="1">
        <f>P1049*1400</f>
        <v>0</v>
      </c>
      <c r="R1049" s="1">
        <v>0</v>
      </c>
      <c r="S1049" s="1">
        <f>R1049*3751</f>
        <v>0</v>
      </c>
      <c r="T1049" s="1">
        <v>150000</v>
      </c>
      <c r="U1049" s="1">
        <v>50000</v>
      </c>
      <c r="V1049" s="1">
        <v>0</v>
      </c>
      <c r="W1049" s="1">
        <v>50000</v>
      </c>
      <c r="X1049" s="1">
        <v>0</v>
      </c>
      <c r="Y1049" s="1">
        <v>0</v>
      </c>
      <c r="Z1049" s="1">
        <v>0</v>
      </c>
      <c r="AA1049" s="1">
        <v>0</v>
      </c>
      <c r="AB1049" s="1">
        <v>0</v>
      </c>
      <c r="AC1049" s="1">
        <v>0</v>
      </c>
      <c r="AD1049" s="1">
        <v>0</v>
      </c>
    </row>
    <row r="1050" spans="1:30" s="20" customFormat="1" ht="36" customHeight="1" x14ac:dyDescent="0.25">
      <c r="A1050" s="2">
        <f t="shared" si="520"/>
        <v>1020</v>
      </c>
      <c r="B1050" s="6">
        <f>A1050</f>
        <v>1020</v>
      </c>
      <c r="C1050" s="19" t="s">
        <v>600</v>
      </c>
      <c r="D1050" s="4">
        <f t="shared" si="519"/>
        <v>408227.2</v>
      </c>
      <c r="E1050" s="1">
        <f>SUM(F1050:K1050)</f>
        <v>158227.20000000001</v>
      </c>
      <c r="F1050" s="1">
        <f>804*196.8</f>
        <v>158227.20000000001</v>
      </c>
      <c r="G1050" s="1">
        <v>0</v>
      </c>
      <c r="H1050" s="1">
        <v>0</v>
      </c>
      <c r="I1050" s="1">
        <v>0</v>
      </c>
      <c r="J1050" s="1">
        <v>0</v>
      </c>
      <c r="K1050" s="1">
        <v>0</v>
      </c>
      <c r="L1050" s="2">
        <v>0</v>
      </c>
      <c r="M1050" s="1">
        <v>0</v>
      </c>
      <c r="N1050" s="1">
        <v>0</v>
      </c>
      <c r="O1050" s="1">
        <v>0</v>
      </c>
      <c r="P1050" s="1">
        <v>0</v>
      </c>
      <c r="Q1050" s="1">
        <f>P1050*1400</f>
        <v>0</v>
      </c>
      <c r="R1050" s="1">
        <v>0</v>
      </c>
      <c r="S1050" s="1">
        <f>R1050*3751</f>
        <v>0</v>
      </c>
      <c r="T1050" s="1">
        <v>150000</v>
      </c>
      <c r="U1050" s="1">
        <v>50000</v>
      </c>
      <c r="V1050" s="1">
        <v>0</v>
      </c>
      <c r="W1050" s="1">
        <v>50000</v>
      </c>
      <c r="X1050" s="1">
        <v>0</v>
      </c>
      <c r="Y1050" s="1">
        <v>0</v>
      </c>
      <c r="Z1050" s="1">
        <v>0</v>
      </c>
      <c r="AA1050" s="1">
        <v>0</v>
      </c>
      <c r="AB1050" s="1">
        <v>0</v>
      </c>
      <c r="AC1050" s="1">
        <v>0</v>
      </c>
      <c r="AD1050" s="1">
        <v>0</v>
      </c>
    </row>
    <row r="1051" spans="1:30" s="20" customFormat="1" ht="36" customHeight="1" x14ac:dyDescent="0.25">
      <c r="A1051" s="2">
        <f t="shared" si="520"/>
        <v>1021</v>
      </c>
      <c r="B1051" s="6">
        <f>A1051</f>
        <v>1021</v>
      </c>
      <c r="C1051" s="19" t="s">
        <v>601</v>
      </c>
      <c r="D1051" s="4">
        <f t="shared" si="519"/>
        <v>2733512</v>
      </c>
      <c r="E1051" s="1">
        <f>SUM(F1051:K1051)</f>
        <v>183312</v>
      </c>
      <c r="F1051" s="1">
        <f>804*228</f>
        <v>183312</v>
      </c>
      <c r="G1051" s="1">
        <v>0</v>
      </c>
      <c r="H1051" s="1">
        <v>0</v>
      </c>
      <c r="I1051" s="1">
        <v>0</v>
      </c>
      <c r="J1051" s="1">
        <v>0</v>
      </c>
      <c r="K1051" s="1">
        <v>0</v>
      </c>
      <c r="L1051" s="2">
        <v>0</v>
      </c>
      <c r="M1051" s="1">
        <v>0</v>
      </c>
      <c r="N1051" s="1">
        <v>200</v>
      </c>
      <c r="O1051" s="1">
        <f>N1051*7750</f>
        <v>1550000</v>
      </c>
      <c r="P1051" s="1">
        <v>0</v>
      </c>
      <c r="Q1051" s="1">
        <f>P1051*1400</f>
        <v>0</v>
      </c>
      <c r="R1051" s="1">
        <v>200</v>
      </c>
      <c r="S1051" s="1">
        <f>R1051*3751</f>
        <v>750200</v>
      </c>
      <c r="T1051" s="1">
        <v>150000</v>
      </c>
      <c r="U1051" s="1">
        <v>50000</v>
      </c>
      <c r="V1051" s="1">
        <v>0</v>
      </c>
      <c r="W1051" s="1">
        <v>50000</v>
      </c>
      <c r="X1051" s="1">
        <v>0</v>
      </c>
      <c r="Y1051" s="1">
        <v>0</v>
      </c>
      <c r="Z1051" s="1">
        <v>0</v>
      </c>
      <c r="AA1051" s="1">
        <v>0</v>
      </c>
      <c r="AB1051" s="1">
        <v>0</v>
      </c>
      <c r="AC1051" s="1">
        <v>0</v>
      </c>
      <c r="AD1051" s="1">
        <v>0</v>
      </c>
    </row>
    <row r="1052" spans="1:30" s="20" customFormat="1" ht="54.95" customHeight="1" x14ac:dyDescent="0.25">
      <c r="A1052" s="3"/>
      <c r="B1052" s="47" t="s">
        <v>1984</v>
      </c>
      <c r="C1052" s="48"/>
      <c r="D1052" s="4">
        <f>SUM(D1053)</f>
        <v>5056880.2</v>
      </c>
      <c r="E1052" s="4">
        <f t="shared" ref="E1052:AD1052" si="529">SUM(E1053)</f>
        <v>430198.2</v>
      </c>
      <c r="F1052" s="4">
        <f t="shared" si="529"/>
        <v>289681.2</v>
      </c>
      <c r="G1052" s="4">
        <f t="shared" si="529"/>
        <v>0</v>
      </c>
      <c r="H1052" s="4">
        <f t="shared" si="529"/>
        <v>140517</v>
      </c>
      <c r="I1052" s="4">
        <f t="shared" si="529"/>
        <v>0</v>
      </c>
      <c r="J1052" s="4">
        <f t="shared" si="529"/>
        <v>0</v>
      </c>
      <c r="K1052" s="4">
        <f t="shared" si="529"/>
        <v>0</v>
      </c>
      <c r="L1052" s="17">
        <f t="shared" si="529"/>
        <v>0</v>
      </c>
      <c r="M1052" s="4">
        <f t="shared" si="529"/>
        <v>0</v>
      </c>
      <c r="N1052" s="4">
        <f t="shared" si="529"/>
        <v>375</v>
      </c>
      <c r="O1052" s="4">
        <f t="shared" si="529"/>
        <v>2906250</v>
      </c>
      <c r="P1052" s="4">
        <f t="shared" si="529"/>
        <v>0</v>
      </c>
      <c r="Q1052" s="4">
        <f t="shared" si="529"/>
        <v>0</v>
      </c>
      <c r="R1052" s="4">
        <f t="shared" si="529"/>
        <v>432</v>
      </c>
      <c r="S1052" s="4">
        <f t="shared" si="529"/>
        <v>1620432</v>
      </c>
      <c r="T1052" s="4">
        <f t="shared" si="529"/>
        <v>0</v>
      </c>
      <c r="U1052" s="4">
        <f t="shared" si="529"/>
        <v>50000</v>
      </c>
      <c r="V1052" s="4">
        <f t="shared" si="529"/>
        <v>0</v>
      </c>
      <c r="W1052" s="4">
        <f t="shared" si="529"/>
        <v>50000</v>
      </c>
      <c r="X1052" s="4">
        <f t="shared" si="529"/>
        <v>0</v>
      </c>
      <c r="Y1052" s="4">
        <f t="shared" si="529"/>
        <v>0</v>
      </c>
      <c r="Z1052" s="4">
        <f t="shared" si="529"/>
        <v>0</v>
      </c>
      <c r="AA1052" s="4">
        <f t="shared" si="529"/>
        <v>0</v>
      </c>
      <c r="AB1052" s="4">
        <f t="shared" si="529"/>
        <v>0</v>
      </c>
      <c r="AC1052" s="4">
        <f t="shared" si="529"/>
        <v>0</v>
      </c>
      <c r="AD1052" s="4">
        <f t="shared" si="529"/>
        <v>0</v>
      </c>
    </row>
    <row r="1053" spans="1:30" s="20" customFormat="1" ht="36" customHeight="1" x14ac:dyDescent="0.25">
      <c r="A1053" s="2">
        <f>ROW()-ROW($A$11)-20</f>
        <v>1022</v>
      </c>
      <c r="B1053" s="6">
        <f>A1053</f>
        <v>1022</v>
      </c>
      <c r="C1053" s="19" t="s">
        <v>602</v>
      </c>
      <c r="D1053" s="4">
        <f>E1053+M1053+O1053+Q1053+S1053+T1053+U1053+V1053+W1053+X1053+Z1053+AA1053+AB1053+AC1053+AD1053</f>
        <v>5056880.2</v>
      </c>
      <c r="E1053" s="1">
        <f>SUM(F1053:K1053)</f>
        <v>430198.2</v>
      </c>
      <c r="F1053" s="1">
        <f>804*360.3</f>
        <v>289681.2</v>
      </c>
      <c r="G1053" s="1">
        <v>0</v>
      </c>
      <c r="H1053" s="1">
        <f>390*360.3</f>
        <v>140517</v>
      </c>
      <c r="I1053" s="1">
        <v>0</v>
      </c>
      <c r="J1053" s="1">
        <v>0</v>
      </c>
      <c r="K1053" s="1">
        <v>0</v>
      </c>
      <c r="L1053" s="2">
        <v>0</v>
      </c>
      <c r="M1053" s="1">
        <v>0</v>
      </c>
      <c r="N1053" s="1">
        <v>375</v>
      </c>
      <c r="O1053" s="1">
        <f>N1053*7750</f>
        <v>2906250</v>
      </c>
      <c r="P1053" s="1">
        <v>0</v>
      </c>
      <c r="Q1053" s="1">
        <f>P1053*1400</f>
        <v>0</v>
      </c>
      <c r="R1053" s="1">
        <v>432</v>
      </c>
      <c r="S1053" s="1">
        <f>R1053*3751</f>
        <v>1620432</v>
      </c>
      <c r="T1053" s="1">
        <v>0</v>
      </c>
      <c r="U1053" s="1">
        <v>50000</v>
      </c>
      <c r="V1053" s="1">
        <v>0</v>
      </c>
      <c r="W1053" s="1">
        <v>50000</v>
      </c>
      <c r="X1053" s="1">
        <v>0</v>
      </c>
      <c r="Y1053" s="1">
        <v>0</v>
      </c>
      <c r="Z1053" s="1">
        <v>0</v>
      </c>
      <c r="AA1053" s="1">
        <v>0</v>
      </c>
      <c r="AB1053" s="1">
        <v>0</v>
      </c>
      <c r="AC1053" s="1">
        <v>0</v>
      </c>
      <c r="AD1053" s="1">
        <v>0</v>
      </c>
    </row>
    <row r="1054" spans="1:30" s="20" customFormat="1" ht="54.95" customHeight="1" x14ac:dyDescent="0.25">
      <c r="A1054" s="3"/>
      <c r="B1054" s="47" t="s">
        <v>1985</v>
      </c>
      <c r="C1054" s="48"/>
      <c r="D1054" s="4">
        <f>SUM(D1055:D1059)</f>
        <v>26810618</v>
      </c>
      <c r="E1054" s="4">
        <f t="shared" ref="E1054:AD1054" si="530">SUM(E1055:E1059)</f>
        <v>5374508</v>
      </c>
      <c r="F1054" s="4">
        <f t="shared" si="530"/>
        <v>1550339.4</v>
      </c>
      <c r="G1054" s="4">
        <f t="shared" si="530"/>
        <v>1337808.6000000001</v>
      </c>
      <c r="H1054" s="4">
        <f t="shared" si="530"/>
        <v>522678</v>
      </c>
      <c r="I1054" s="4">
        <f t="shared" si="530"/>
        <v>1337808.6000000001</v>
      </c>
      <c r="J1054" s="4">
        <f t="shared" si="530"/>
        <v>625873.4</v>
      </c>
      <c r="K1054" s="4">
        <f t="shared" si="530"/>
        <v>0</v>
      </c>
      <c r="L1054" s="17">
        <f t="shared" si="530"/>
        <v>0</v>
      </c>
      <c r="M1054" s="4">
        <f t="shared" si="530"/>
        <v>0</v>
      </c>
      <c r="N1054" s="4">
        <f t="shared" si="530"/>
        <v>2190</v>
      </c>
      <c r="O1054" s="4">
        <f t="shared" si="530"/>
        <v>16972500</v>
      </c>
      <c r="P1054" s="4">
        <f t="shared" si="530"/>
        <v>0</v>
      </c>
      <c r="Q1054" s="4">
        <f t="shared" si="530"/>
        <v>0</v>
      </c>
      <c r="R1054" s="4">
        <f t="shared" si="530"/>
        <v>1110</v>
      </c>
      <c r="S1054" s="4">
        <f t="shared" si="530"/>
        <v>4163610</v>
      </c>
      <c r="T1054" s="4">
        <f t="shared" si="530"/>
        <v>0</v>
      </c>
      <c r="U1054" s="4">
        <f t="shared" si="530"/>
        <v>150000</v>
      </c>
      <c r="V1054" s="4">
        <f t="shared" si="530"/>
        <v>0</v>
      </c>
      <c r="W1054" s="4">
        <f t="shared" si="530"/>
        <v>150000</v>
      </c>
      <c r="X1054" s="4">
        <f t="shared" si="530"/>
        <v>0</v>
      </c>
      <c r="Y1054" s="4">
        <f t="shared" si="530"/>
        <v>0</v>
      </c>
      <c r="Z1054" s="4">
        <f t="shared" si="530"/>
        <v>0</v>
      </c>
      <c r="AA1054" s="4">
        <f t="shared" si="530"/>
        <v>0</v>
      </c>
      <c r="AB1054" s="4">
        <f t="shared" si="530"/>
        <v>0</v>
      </c>
      <c r="AC1054" s="4">
        <f t="shared" si="530"/>
        <v>0</v>
      </c>
      <c r="AD1054" s="4">
        <f t="shared" si="530"/>
        <v>0</v>
      </c>
    </row>
    <row r="1055" spans="1:30" s="20" customFormat="1" ht="36" customHeight="1" x14ac:dyDescent="0.25">
      <c r="A1055" s="2">
        <f>ROW()-ROW($A$11)-21</f>
        <v>1023</v>
      </c>
      <c r="B1055" s="6">
        <f>A1055</f>
        <v>1023</v>
      </c>
      <c r="C1055" s="19" t="s">
        <v>1766</v>
      </c>
      <c r="D1055" s="4">
        <f>E1055+M1055+O1055+Q1055+S1055+T1055+U1055+V1055+W1055+X1055+Z1055+AA1055+AB1055+AC1055+AD1055</f>
        <v>5238850</v>
      </c>
      <c r="E1055" s="1">
        <f>SUM(F1055:K1055)</f>
        <v>913550</v>
      </c>
      <c r="F1055" s="1">
        <f>804*550</f>
        <v>442200</v>
      </c>
      <c r="G1055" s="1">
        <v>0</v>
      </c>
      <c r="H1055" s="1">
        <f>390*550</f>
        <v>214500</v>
      </c>
      <c r="I1055" s="1">
        <v>0</v>
      </c>
      <c r="J1055" s="1">
        <f>467*550</f>
        <v>256850</v>
      </c>
      <c r="K1055" s="1">
        <v>0</v>
      </c>
      <c r="L1055" s="2">
        <v>0</v>
      </c>
      <c r="M1055" s="1">
        <v>0</v>
      </c>
      <c r="N1055" s="1">
        <v>400</v>
      </c>
      <c r="O1055" s="1">
        <f>N1055*7750</f>
        <v>3100000</v>
      </c>
      <c r="P1055" s="1">
        <v>0</v>
      </c>
      <c r="Q1055" s="1">
        <f>P1055*1400</f>
        <v>0</v>
      </c>
      <c r="R1055" s="1">
        <v>300</v>
      </c>
      <c r="S1055" s="1">
        <f>R1055*3751</f>
        <v>1125300</v>
      </c>
      <c r="T1055" s="1">
        <v>0</v>
      </c>
      <c r="U1055" s="1">
        <v>50000</v>
      </c>
      <c r="V1055" s="1">
        <v>0</v>
      </c>
      <c r="W1055" s="1">
        <v>50000</v>
      </c>
      <c r="X1055" s="1">
        <v>0</v>
      </c>
      <c r="Y1055" s="1">
        <v>0</v>
      </c>
      <c r="Z1055" s="1">
        <v>0</v>
      </c>
      <c r="AA1055" s="1">
        <v>0</v>
      </c>
      <c r="AB1055" s="1">
        <v>0</v>
      </c>
      <c r="AC1055" s="1">
        <v>0</v>
      </c>
      <c r="AD1055" s="1">
        <v>0</v>
      </c>
    </row>
    <row r="1056" spans="1:30" s="20" customFormat="1" ht="36" customHeight="1" x14ac:dyDescent="0.25">
      <c r="A1056" s="2">
        <f t="shared" ref="A1056:A1059" si="531">ROW()-ROW($A$11)-21</f>
        <v>1024</v>
      </c>
      <c r="B1056" s="6">
        <f>A1056</f>
        <v>1024</v>
      </c>
      <c r="C1056" s="19" t="s">
        <v>1675</v>
      </c>
      <c r="D1056" s="4">
        <f>E1056+M1056+O1056+Q1056+S1056+T1056+U1056+V1056+W1056+X1056+Z1056+AA1056+AB1056+AC1056+AD1056</f>
        <v>5425000</v>
      </c>
      <c r="E1056" s="1">
        <f>SUM(F1056:K1056)</f>
        <v>0</v>
      </c>
      <c r="F1056" s="1">
        <v>0</v>
      </c>
      <c r="G1056" s="1">
        <v>0</v>
      </c>
      <c r="H1056" s="1">
        <v>0</v>
      </c>
      <c r="I1056" s="1">
        <v>0</v>
      </c>
      <c r="J1056" s="1">
        <v>0</v>
      </c>
      <c r="K1056" s="1">
        <v>0</v>
      </c>
      <c r="L1056" s="2">
        <v>0</v>
      </c>
      <c r="M1056" s="1">
        <v>0</v>
      </c>
      <c r="N1056" s="1">
        <v>700</v>
      </c>
      <c r="O1056" s="1">
        <f>N1056*7750</f>
        <v>5425000</v>
      </c>
      <c r="P1056" s="1">
        <v>0</v>
      </c>
      <c r="Q1056" s="1">
        <f>P1056*1400</f>
        <v>0</v>
      </c>
      <c r="R1056" s="1">
        <v>0</v>
      </c>
      <c r="S1056" s="1">
        <v>0</v>
      </c>
      <c r="T1056" s="1">
        <v>0</v>
      </c>
      <c r="U1056" s="1">
        <v>0</v>
      </c>
      <c r="V1056" s="1">
        <v>0</v>
      </c>
      <c r="W1056" s="1">
        <v>0</v>
      </c>
      <c r="X1056" s="1">
        <v>0</v>
      </c>
      <c r="Y1056" s="1">
        <v>0</v>
      </c>
      <c r="Z1056" s="1">
        <v>0</v>
      </c>
      <c r="AA1056" s="1">
        <v>0</v>
      </c>
      <c r="AB1056" s="1">
        <v>0</v>
      </c>
      <c r="AC1056" s="1">
        <v>0</v>
      </c>
      <c r="AD1056" s="1">
        <v>0</v>
      </c>
    </row>
    <row r="1057" spans="1:30" s="20" customFormat="1" ht="36" customHeight="1" x14ac:dyDescent="0.25">
      <c r="A1057" s="2">
        <f t="shared" si="531"/>
        <v>1025</v>
      </c>
      <c r="B1057" s="6">
        <f>A1057</f>
        <v>1025</v>
      </c>
      <c r="C1057" s="19" t="s">
        <v>603</v>
      </c>
      <c r="D1057" s="4">
        <f>E1057+M1057+O1057+Q1057+S1057+T1057+U1057+V1057+W1057+X1057+Z1057+AA1057+AB1057+AC1057+AD1057</f>
        <v>6058088.7999999998</v>
      </c>
      <c r="E1057" s="1">
        <f>SUM(F1057:K1057)</f>
        <v>4157608.8</v>
      </c>
      <c r="F1057" s="1">
        <f>804790.2</f>
        <v>804790.2</v>
      </c>
      <c r="G1057" s="1">
        <f>1693*790.2</f>
        <v>1337808.6000000001</v>
      </c>
      <c r="H1057" s="1">
        <f>390*790.2</f>
        <v>308178</v>
      </c>
      <c r="I1057" s="1">
        <f>1693*790.2</f>
        <v>1337808.6000000001</v>
      </c>
      <c r="J1057" s="1">
        <f>467*790.2</f>
        <v>369023.4</v>
      </c>
      <c r="K1057" s="1">
        <v>0</v>
      </c>
      <c r="L1057" s="2">
        <v>0</v>
      </c>
      <c r="M1057" s="1">
        <v>0</v>
      </c>
      <c r="N1057" s="1">
        <v>0</v>
      </c>
      <c r="O1057" s="1">
        <v>0</v>
      </c>
      <c r="P1057" s="1">
        <v>0</v>
      </c>
      <c r="Q1057" s="1">
        <f>P1057*1400</f>
        <v>0</v>
      </c>
      <c r="R1057" s="1">
        <v>480</v>
      </c>
      <c r="S1057" s="1">
        <f>R1057*3751</f>
        <v>1800480</v>
      </c>
      <c r="T1057" s="1">
        <v>0</v>
      </c>
      <c r="U1057" s="1">
        <v>50000</v>
      </c>
      <c r="V1057" s="1">
        <v>0</v>
      </c>
      <c r="W1057" s="1">
        <v>50000</v>
      </c>
      <c r="X1057" s="1">
        <v>0</v>
      </c>
      <c r="Y1057" s="1">
        <v>0</v>
      </c>
      <c r="Z1057" s="1">
        <v>0</v>
      </c>
      <c r="AA1057" s="1">
        <v>0</v>
      </c>
      <c r="AB1057" s="1">
        <v>0</v>
      </c>
      <c r="AC1057" s="1">
        <v>0</v>
      </c>
      <c r="AD1057" s="1">
        <v>0</v>
      </c>
    </row>
    <row r="1058" spans="1:30" s="20" customFormat="1" ht="36" customHeight="1" x14ac:dyDescent="0.25">
      <c r="A1058" s="2">
        <f t="shared" si="531"/>
        <v>1026</v>
      </c>
      <c r="B1058" s="6">
        <f>A1058</f>
        <v>1026</v>
      </c>
      <c r="C1058" s="19" t="s">
        <v>1676</v>
      </c>
      <c r="D1058" s="4">
        <f>E1058+M1058+O1058+Q1058+S1058+T1058+U1058+V1058+W1058+X1058+Z1058+AA1058+AB1058+AC1058+AD1058</f>
        <v>5425000</v>
      </c>
      <c r="E1058" s="1">
        <f>SUM(F1058:K1058)</f>
        <v>0</v>
      </c>
      <c r="F1058" s="1">
        <v>0</v>
      </c>
      <c r="G1058" s="1">
        <v>0</v>
      </c>
      <c r="H1058" s="1">
        <v>0</v>
      </c>
      <c r="I1058" s="1">
        <v>0</v>
      </c>
      <c r="J1058" s="1">
        <v>0</v>
      </c>
      <c r="K1058" s="1">
        <v>0</v>
      </c>
      <c r="L1058" s="2">
        <v>0</v>
      </c>
      <c r="M1058" s="1">
        <v>0</v>
      </c>
      <c r="N1058" s="1">
        <v>700</v>
      </c>
      <c r="O1058" s="1">
        <f>N1058*7750</f>
        <v>5425000</v>
      </c>
      <c r="P1058" s="1">
        <v>0</v>
      </c>
      <c r="Q1058" s="1">
        <f>P1058*1400</f>
        <v>0</v>
      </c>
      <c r="R1058" s="1">
        <v>0</v>
      </c>
      <c r="S1058" s="1">
        <v>0</v>
      </c>
      <c r="T1058" s="1">
        <v>0</v>
      </c>
      <c r="U1058" s="1">
        <v>0</v>
      </c>
      <c r="V1058" s="1">
        <v>0</v>
      </c>
      <c r="W1058" s="1">
        <v>0</v>
      </c>
      <c r="X1058" s="1">
        <v>0</v>
      </c>
      <c r="Y1058" s="1">
        <v>0</v>
      </c>
      <c r="Z1058" s="1">
        <v>0</v>
      </c>
      <c r="AA1058" s="1">
        <v>0</v>
      </c>
      <c r="AB1058" s="1">
        <v>0</v>
      </c>
      <c r="AC1058" s="1">
        <v>0</v>
      </c>
      <c r="AD1058" s="1">
        <v>0</v>
      </c>
    </row>
    <row r="1059" spans="1:30" s="20" customFormat="1" ht="36" customHeight="1" x14ac:dyDescent="0.25">
      <c r="A1059" s="2">
        <f t="shared" si="531"/>
        <v>1027</v>
      </c>
      <c r="B1059" s="6">
        <f>A1059</f>
        <v>1027</v>
      </c>
      <c r="C1059" s="19" t="s">
        <v>1823</v>
      </c>
      <c r="D1059" s="4">
        <f>E1059+M1059+O1059+Q1059+S1059+T1059+U1059+V1059+W1059+X1059+Z1059+AA1059+AB1059+AC1059+AD1059</f>
        <v>4663679.2</v>
      </c>
      <c r="E1059" s="1">
        <f>SUM(F1059:K1059)</f>
        <v>303349.2</v>
      </c>
      <c r="F1059" s="1">
        <f>804*377.3</f>
        <v>303349.2</v>
      </c>
      <c r="G1059" s="1">
        <v>0</v>
      </c>
      <c r="H1059" s="1">
        <v>0</v>
      </c>
      <c r="I1059" s="1">
        <v>0</v>
      </c>
      <c r="J1059" s="1">
        <v>0</v>
      </c>
      <c r="K1059" s="1">
        <v>0</v>
      </c>
      <c r="L1059" s="2">
        <v>0</v>
      </c>
      <c r="M1059" s="1">
        <v>0</v>
      </c>
      <c r="N1059" s="1">
        <v>390</v>
      </c>
      <c r="O1059" s="1">
        <f>N1059*7750</f>
        <v>3022500</v>
      </c>
      <c r="P1059" s="1">
        <v>0</v>
      </c>
      <c r="Q1059" s="1">
        <f>P1059*1400</f>
        <v>0</v>
      </c>
      <c r="R1059" s="1">
        <v>330</v>
      </c>
      <c r="S1059" s="1">
        <f>R1059*3751</f>
        <v>1237830</v>
      </c>
      <c r="T1059" s="1">
        <v>0</v>
      </c>
      <c r="U1059" s="1">
        <v>50000</v>
      </c>
      <c r="V1059" s="1">
        <v>0</v>
      </c>
      <c r="W1059" s="1">
        <v>50000</v>
      </c>
      <c r="X1059" s="1">
        <v>0</v>
      </c>
      <c r="Y1059" s="1">
        <v>0</v>
      </c>
      <c r="Z1059" s="1">
        <v>0</v>
      </c>
      <c r="AA1059" s="1">
        <v>0</v>
      </c>
      <c r="AB1059" s="1">
        <v>0</v>
      </c>
      <c r="AC1059" s="1">
        <v>0</v>
      </c>
      <c r="AD1059" s="1">
        <v>0</v>
      </c>
    </row>
    <row r="1060" spans="1:30" s="20" customFormat="1" ht="54.95" customHeight="1" x14ac:dyDescent="0.25">
      <c r="A1060" s="3"/>
      <c r="B1060" s="47" t="s">
        <v>1986</v>
      </c>
      <c r="C1060" s="48"/>
      <c r="D1060" s="4">
        <f>SUM(D1061:D1068)</f>
        <v>42578186.68</v>
      </c>
      <c r="E1060" s="4">
        <f t="shared" ref="E1060:AD1060" si="532">SUM(E1061:E1068)</f>
        <v>11666300.699999999</v>
      </c>
      <c r="F1060" s="4">
        <f t="shared" si="532"/>
        <v>5013744</v>
      </c>
      <c r="G1060" s="4">
        <f t="shared" si="532"/>
        <v>4096382.8</v>
      </c>
      <c r="H1060" s="4">
        <f t="shared" si="532"/>
        <v>1163253</v>
      </c>
      <c r="I1060" s="4">
        <f t="shared" si="532"/>
        <v>0</v>
      </c>
      <c r="J1060" s="4">
        <f t="shared" si="532"/>
        <v>1392920.9</v>
      </c>
      <c r="K1060" s="4">
        <f t="shared" si="532"/>
        <v>0</v>
      </c>
      <c r="L1060" s="17">
        <f t="shared" si="532"/>
        <v>0</v>
      </c>
      <c r="M1060" s="4">
        <f t="shared" si="532"/>
        <v>0</v>
      </c>
      <c r="N1060" s="4">
        <f t="shared" si="532"/>
        <v>2431.3599999999997</v>
      </c>
      <c r="O1060" s="4">
        <f t="shared" si="532"/>
        <v>15528676.48</v>
      </c>
      <c r="P1060" s="4">
        <f t="shared" si="532"/>
        <v>0</v>
      </c>
      <c r="Q1060" s="4">
        <f t="shared" si="532"/>
        <v>0</v>
      </c>
      <c r="R1060" s="4">
        <f t="shared" si="532"/>
        <v>3834.5</v>
      </c>
      <c r="S1060" s="4">
        <f t="shared" si="532"/>
        <v>14383209.5</v>
      </c>
      <c r="T1060" s="4">
        <f t="shared" si="532"/>
        <v>450000</v>
      </c>
      <c r="U1060" s="4">
        <f t="shared" si="532"/>
        <v>300000</v>
      </c>
      <c r="V1060" s="4">
        <f t="shared" si="532"/>
        <v>0</v>
      </c>
      <c r="W1060" s="4">
        <f t="shared" si="532"/>
        <v>250000</v>
      </c>
      <c r="X1060" s="4">
        <f t="shared" si="532"/>
        <v>0</v>
      </c>
      <c r="Y1060" s="4">
        <f t="shared" si="532"/>
        <v>0</v>
      </c>
      <c r="Z1060" s="4">
        <f t="shared" si="532"/>
        <v>0</v>
      </c>
      <c r="AA1060" s="4">
        <f t="shared" si="532"/>
        <v>0</v>
      </c>
      <c r="AB1060" s="4">
        <f t="shared" si="532"/>
        <v>0</v>
      </c>
      <c r="AC1060" s="4">
        <f t="shared" si="532"/>
        <v>0</v>
      </c>
      <c r="AD1060" s="4">
        <f t="shared" si="532"/>
        <v>0</v>
      </c>
    </row>
    <row r="1061" spans="1:30" s="20" customFormat="1" ht="36" customHeight="1" x14ac:dyDescent="0.25">
      <c r="A1061" s="2">
        <f>ROW()-ROW($A$11)-22</f>
        <v>1028</v>
      </c>
      <c r="B1061" s="6">
        <f>A1061</f>
        <v>1028</v>
      </c>
      <c r="C1061" s="19" t="s">
        <v>2205</v>
      </c>
      <c r="D1061" s="4">
        <f t="shared" ref="D1061:D1068" si="533">E1061+M1061+O1061+Q1061+S1061+T1061+U1061+V1061+W1061+X1061+Z1061+AA1061+AB1061+AC1061+AD1061</f>
        <v>11910073.399999999</v>
      </c>
      <c r="E1061" s="1">
        <f>SUM(F1061:K1061)</f>
        <v>8115338.3999999994</v>
      </c>
      <c r="F1061" s="1">
        <f>804*2419.6</f>
        <v>1945358.4</v>
      </c>
      <c r="G1061" s="1">
        <f>1693*2419.6</f>
        <v>4096382.8</v>
      </c>
      <c r="H1061" s="1">
        <f>390*2419.6</f>
        <v>943644</v>
      </c>
      <c r="I1061" s="1">
        <v>0</v>
      </c>
      <c r="J1061" s="1">
        <f>467*2419.6</f>
        <v>1129953.2</v>
      </c>
      <c r="K1061" s="1">
        <v>0</v>
      </c>
      <c r="L1061" s="2">
        <v>0</v>
      </c>
      <c r="M1061" s="1">
        <v>0</v>
      </c>
      <c r="N1061" s="1">
        <v>0</v>
      </c>
      <c r="O1061" s="1">
        <f>N1061*4968</f>
        <v>0</v>
      </c>
      <c r="P1061" s="1">
        <v>0</v>
      </c>
      <c r="Q1061" s="1">
        <f>P1061*1400</f>
        <v>0</v>
      </c>
      <c r="R1061" s="1">
        <v>985</v>
      </c>
      <c r="S1061" s="1">
        <f>R1061*3751</f>
        <v>3694735</v>
      </c>
      <c r="T1061" s="1">
        <v>0</v>
      </c>
      <c r="U1061" s="1">
        <v>50000</v>
      </c>
      <c r="V1061" s="1">
        <v>0</v>
      </c>
      <c r="W1061" s="1">
        <v>50000</v>
      </c>
      <c r="X1061" s="1">
        <v>0</v>
      </c>
      <c r="Y1061" s="1">
        <v>0</v>
      </c>
      <c r="Z1061" s="1">
        <v>0</v>
      </c>
      <c r="AA1061" s="1">
        <v>0</v>
      </c>
      <c r="AB1061" s="1">
        <v>0</v>
      </c>
      <c r="AC1061" s="1">
        <v>0</v>
      </c>
      <c r="AD1061" s="1">
        <v>0</v>
      </c>
    </row>
    <row r="1062" spans="1:30" s="20" customFormat="1" ht="36" customHeight="1" x14ac:dyDescent="0.25">
      <c r="A1062" s="2">
        <f t="shared" ref="A1062:A1068" si="534">ROW()-ROW($A$11)-22</f>
        <v>1029</v>
      </c>
      <c r="B1062" s="6">
        <f>A1062</f>
        <v>1029</v>
      </c>
      <c r="C1062" s="19" t="s">
        <v>609</v>
      </c>
      <c r="D1062" s="4">
        <f t="shared" si="533"/>
        <v>3009338.2399999998</v>
      </c>
      <c r="E1062" s="1">
        <f>SUM(F1062:K1062)</f>
        <v>0</v>
      </c>
      <c r="F1062" s="1">
        <v>0</v>
      </c>
      <c r="G1062" s="1">
        <v>0</v>
      </c>
      <c r="H1062" s="1">
        <v>0</v>
      </c>
      <c r="I1062" s="1">
        <v>0</v>
      </c>
      <c r="J1062" s="1">
        <v>0</v>
      </c>
      <c r="K1062" s="1">
        <v>0</v>
      </c>
      <c r="L1062" s="2">
        <v>0</v>
      </c>
      <c r="M1062" s="1">
        <v>0</v>
      </c>
      <c r="N1062" s="1">
        <v>595.67999999999995</v>
      </c>
      <c r="O1062" s="1">
        <f>N1062*4968</f>
        <v>2959338.2399999998</v>
      </c>
      <c r="P1062" s="1">
        <v>0</v>
      </c>
      <c r="Q1062" s="1">
        <f>P1062*1400</f>
        <v>0</v>
      </c>
      <c r="R1062" s="1">
        <v>0</v>
      </c>
      <c r="S1062" s="1">
        <f>R1062*3751</f>
        <v>0</v>
      </c>
      <c r="T1062" s="1">
        <v>0</v>
      </c>
      <c r="U1062" s="1">
        <v>0</v>
      </c>
      <c r="V1062" s="1">
        <v>0</v>
      </c>
      <c r="W1062" s="1">
        <v>50000</v>
      </c>
      <c r="X1062" s="1">
        <v>0</v>
      </c>
      <c r="Y1062" s="1">
        <v>0</v>
      </c>
      <c r="Z1062" s="1">
        <v>0</v>
      </c>
      <c r="AA1062" s="1">
        <v>0</v>
      </c>
      <c r="AB1062" s="1">
        <v>0</v>
      </c>
      <c r="AC1062" s="1">
        <v>0</v>
      </c>
      <c r="AD1062" s="1">
        <v>0</v>
      </c>
    </row>
    <row r="1063" spans="1:30" s="20" customFormat="1" ht="36" customHeight="1" x14ac:dyDescent="0.25">
      <c r="A1063" s="2">
        <f t="shared" si="534"/>
        <v>1030</v>
      </c>
      <c r="B1063" s="6">
        <f>A1063</f>
        <v>1030</v>
      </c>
      <c r="C1063" s="19" t="s">
        <v>2437</v>
      </c>
      <c r="D1063" s="4">
        <f t="shared" si="533"/>
        <v>2959338.2399999998</v>
      </c>
      <c r="E1063" s="1">
        <f>SUM(F1063:K1063)</f>
        <v>0</v>
      </c>
      <c r="F1063" s="1">
        <v>0</v>
      </c>
      <c r="G1063" s="1">
        <v>0</v>
      </c>
      <c r="H1063" s="1">
        <v>0</v>
      </c>
      <c r="I1063" s="1">
        <v>0</v>
      </c>
      <c r="J1063" s="1">
        <v>0</v>
      </c>
      <c r="K1063" s="1">
        <v>0</v>
      </c>
      <c r="L1063" s="2">
        <v>0</v>
      </c>
      <c r="M1063" s="1">
        <v>0</v>
      </c>
      <c r="N1063" s="1">
        <v>595.67999999999995</v>
      </c>
      <c r="O1063" s="1">
        <f>N1063*4968</f>
        <v>2959338.2399999998</v>
      </c>
      <c r="P1063" s="1">
        <v>0</v>
      </c>
      <c r="Q1063" s="1">
        <f>P1063*1400</f>
        <v>0</v>
      </c>
      <c r="R1063" s="1">
        <v>0</v>
      </c>
      <c r="S1063" s="1">
        <f>R1063*3751</f>
        <v>0</v>
      </c>
      <c r="T1063" s="1">
        <v>0</v>
      </c>
      <c r="U1063" s="1">
        <v>0</v>
      </c>
      <c r="V1063" s="1">
        <v>0</v>
      </c>
      <c r="W1063" s="1">
        <v>0</v>
      </c>
      <c r="X1063" s="1">
        <v>0</v>
      </c>
      <c r="Y1063" s="1">
        <v>0</v>
      </c>
      <c r="Z1063" s="1">
        <v>0</v>
      </c>
      <c r="AA1063" s="1">
        <v>0</v>
      </c>
      <c r="AB1063" s="1">
        <v>0</v>
      </c>
      <c r="AC1063" s="1">
        <v>0</v>
      </c>
      <c r="AD1063" s="1">
        <v>0</v>
      </c>
    </row>
    <row r="1064" spans="1:30" s="20" customFormat="1" ht="36" customHeight="1" x14ac:dyDescent="0.25">
      <c r="A1064" s="2">
        <f t="shared" si="534"/>
        <v>1031</v>
      </c>
      <c r="B1064" s="6">
        <f>A1064</f>
        <v>1031</v>
      </c>
      <c r="C1064" s="19" t="s">
        <v>606</v>
      </c>
      <c r="D1064" s="4">
        <f t="shared" si="533"/>
        <v>2834248.7</v>
      </c>
      <c r="E1064" s="1">
        <f>SUM(F1064:K1064)</f>
        <v>935309.10000000009</v>
      </c>
      <c r="F1064" s="1">
        <f>804*563.1</f>
        <v>452732.4</v>
      </c>
      <c r="G1064" s="1">
        <v>0</v>
      </c>
      <c r="H1064" s="1">
        <f>390*563.1</f>
        <v>219609</v>
      </c>
      <c r="I1064" s="1">
        <v>0</v>
      </c>
      <c r="J1064" s="1">
        <f>467*563.1</f>
        <v>262967.7</v>
      </c>
      <c r="K1064" s="1">
        <v>0</v>
      </c>
      <c r="L1064" s="2">
        <v>0</v>
      </c>
      <c r="M1064" s="1">
        <v>0</v>
      </c>
      <c r="N1064" s="1">
        <v>0</v>
      </c>
      <c r="O1064" s="1">
        <v>0</v>
      </c>
      <c r="P1064" s="1">
        <v>0</v>
      </c>
      <c r="Q1064" s="1">
        <f>P1064*1400</f>
        <v>0</v>
      </c>
      <c r="R1064" s="1">
        <v>439.6</v>
      </c>
      <c r="S1064" s="1">
        <f>R1064*3751</f>
        <v>1648939.6</v>
      </c>
      <c r="T1064" s="1">
        <v>150000</v>
      </c>
      <c r="U1064" s="1">
        <v>50000</v>
      </c>
      <c r="V1064" s="1">
        <v>0</v>
      </c>
      <c r="W1064" s="1">
        <v>50000</v>
      </c>
      <c r="X1064" s="1">
        <v>0</v>
      </c>
      <c r="Y1064" s="1">
        <v>0</v>
      </c>
      <c r="Z1064" s="1">
        <v>0</v>
      </c>
      <c r="AA1064" s="1">
        <v>0</v>
      </c>
      <c r="AB1064" s="1">
        <v>0</v>
      </c>
      <c r="AC1064" s="1">
        <v>0</v>
      </c>
      <c r="AD1064" s="1">
        <v>0</v>
      </c>
    </row>
    <row r="1065" spans="1:30" s="20" customFormat="1" ht="36" customHeight="1" x14ac:dyDescent="0.25">
      <c r="A1065" s="2">
        <f t="shared" si="534"/>
        <v>1032</v>
      </c>
      <c r="B1065" s="2">
        <f t="shared" ref="B1065:B1068" si="535">A1065</f>
        <v>1032</v>
      </c>
      <c r="C1065" s="19" t="s">
        <v>604</v>
      </c>
      <c r="D1065" s="39">
        <f t="shared" si="533"/>
        <v>3240214</v>
      </c>
      <c r="E1065" s="1">
        <f t="shared" ref="E1065:E1068" si="536">SUM(F1065:K1065)</f>
        <v>492048</v>
      </c>
      <c r="F1065" s="1">
        <f>804*612</f>
        <v>492048</v>
      </c>
      <c r="G1065" s="1">
        <v>0</v>
      </c>
      <c r="H1065" s="1">
        <v>0</v>
      </c>
      <c r="I1065" s="1">
        <v>0</v>
      </c>
      <c r="J1065" s="1">
        <v>0</v>
      </c>
      <c r="K1065" s="1">
        <v>0</v>
      </c>
      <c r="L1065" s="2">
        <v>0</v>
      </c>
      <c r="M1065" s="1">
        <v>0</v>
      </c>
      <c r="N1065" s="1">
        <v>0</v>
      </c>
      <c r="O1065" s="1">
        <v>0</v>
      </c>
      <c r="P1065" s="1">
        <v>0</v>
      </c>
      <c r="Q1065" s="1">
        <f t="shared" ref="Q1065:Q1068" si="537">P1065*1400</f>
        <v>0</v>
      </c>
      <c r="R1065" s="1">
        <v>666</v>
      </c>
      <c r="S1065" s="1">
        <f t="shared" ref="S1065:S1068" si="538">R1065*3751</f>
        <v>2498166</v>
      </c>
      <c r="T1065" s="1">
        <v>150000</v>
      </c>
      <c r="U1065" s="1">
        <v>50000</v>
      </c>
      <c r="V1065" s="1">
        <v>0</v>
      </c>
      <c r="W1065" s="1">
        <v>50000</v>
      </c>
      <c r="X1065" s="1">
        <v>0</v>
      </c>
      <c r="Y1065" s="1">
        <v>0</v>
      </c>
      <c r="Z1065" s="1">
        <v>0</v>
      </c>
      <c r="AA1065" s="1">
        <v>0</v>
      </c>
      <c r="AB1065" s="1">
        <v>0</v>
      </c>
      <c r="AC1065" s="1">
        <v>0</v>
      </c>
      <c r="AD1065" s="1">
        <v>0</v>
      </c>
    </row>
    <row r="1066" spans="1:30" s="20" customFormat="1" ht="36" customHeight="1" x14ac:dyDescent="0.25">
      <c r="A1066" s="2">
        <f t="shared" si="534"/>
        <v>1033</v>
      </c>
      <c r="B1066" s="2">
        <f t="shared" si="535"/>
        <v>1033</v>
      </c>
      <c r="C1066" s="19" t="s">
        <v>605</v>
      </c>
      <c r="D1066" s="39">
        <f t="shared" si="533"/>
        <v>3754576.3</v>
      </c>
      <c r="E1066" s="1">
        <f t="shared" si="536"/>
        <v>867998.39999999991</v>
      </c>
      <c r="F1066" s="1">
        <f>804*1079.6</f>
        <v>867998.39999999991</v>
      </c>
      <c r="G1066" s="1">
        <v>0</v>
      </c>
      <c r="H1066" s="1">
        <v>0</v>
      </c>
      <c r="I1066" s="1">
        <v>0</v>
      </c>
      <c r="J1066" s="1">
        <v>0</v>
      </c>
      <c r="K1066" s="1">
        <v>0</v>
      </c>
      <c r="L1066" s="2">
        <v>0</v>
      </c>
      <c r="M1066" s="1">
        <v>0</v>
      </c>
      <c r="N1066" s="1">
        <v>0</v>
      </c>
      <c r="O1066" s="1">
        <v>0</v>
      </c>
      <c r="P1066" s="1">
        <v>0</v>
      </c>
      <c r="Q1066" s="1">
        <f t="shared" si="537"/>
        <v>0</v>
      </c>
      <c r="R1066" s="1">
        <v>702.9</v>
      </c>
      <c r="S1066" s="1">
        <f t="shared" si="538"/>
        <v>2636577.9</v>
      </c>
      <c r="T1066" s="1">
        <v>150000</v>
      </c>
      <c r="U1066" s="1">
        <v>50000</v>
      </c>
      <c r="V1066" s="1">
        <v>0</v>
      </c>
      <c r="W1066" s="1">
        <v>50000</v>
      </c>
      <c r="X1066" s="1">
        <v>0</v>
      </c>
      <c r="Y1066" s="1">
        <v>0</v>
      </c>
      <c r="Z1066" s="1">
        <v>0</v>
      </c>
      <c r="AA1066" s="1">
        <v>0</v>
      </c>
      <c r="AB1066" s="1">
        <v>0</v>
      </c>
      <c r="AC1066" s="1">
        <v>0</v>
      </c>
      <c r="AD1066" s="1">
        <v>0</v>
      </c>
    </row>
    <row r="1067" spans="1:30" s="20" customFormat="1" ht="36" customHeight="1" x14ac:dyDescent="0.25">
      <c r="A1067" s="2">
        <f t="shared" si="534"/>
        <v>1034</v>
      </c>
      <c r="B1067" s="6">
        <f t="shared" si="535"/>
        <v>1034</v>
      </c>
      <c r="C1067" s="19" t="s">
        <v>607</v>
      </c>
      <c r="D1067" s="4">
        <f t="shared" si="533"/>
        <v>7434435.0999999996</v>
      </c>
      <c r="E1067" s="1">
        <f t="shared" si="536"/>
        <v>627039.6</v>
      </c>
      <c r="F1067" s="1">
        <f>804*779.9</f>
        <v>627039.6</v>
      </c>
      <c r="G1067" s="1">
        <v>0</v>
      </c>
      <c r="H1067" s="1">
        <v>0</v>
      </c>
      <c r="I1067" s="1">
        <v>0</v>
      </c>
      <c r="J1067" s="1">
        <v>0</v>
      </c>
      <c r="K1067" s="1">
        <v>0</v>
      </c>
      <c r="L1067" s="2">
        <v>0</v>
      </c>
      <c r="M1067" s="1">
        <v>0</v>
      </c>
      <c r="N1067" s="1">
        <v>620</v>
      </c>
      <c r="O1067" s="1">
        <f>N1067*7750</f>
        <v>4805000</v>
      </c>
      <c r="P1067" s="1">
        <v>0</v>
      </c>
      <c r="Q1067" s="1">
        <f t="shared" si="537"/>
        <v>0</v>
      </c>
      <c r="R1067" s="1">
        <v>520.5</v>
      </c>
      <c r="S1067" s="1">
        <f t="shared" si="538"/>
        <v>1952395.5</v>
      </c>
      <c r="T1067" s="1">
        <v>0</v>
      </c>
      <c r="U1067" s="1">
        <v>50000</v>
      </c>
      <c r="V1067" s="1">
        <v>0</v>
      </c>
      <c r="W1067" s="1">
        <v>0</v>
      </c>
      <c r="X1067" s="1">
        <v>0</v>
      </c>
      <c r="Y1067" s="1">
        <v>0</v>
      </c>
      <c r="Z1067" s="1">
        <v>0</v>
      </c>
      <c r="AA1067" s="1">
        <v>0</v>
      </c>
      <c r="AB1067" s="1">
        <v>0</v>
      </c>
      <c r="AC1067" s="1">
        <v>0</v>
      </c>
      <c r="AD1067" s="1">
        <v>0</v>
      </c>
    </row>
    <row r="1068" spans="1:30" s="20" customFormat="1" ht="36" customHeight="1" x14ac:dyDescent="0.25">
      <c r="A1068" s="2">
        <f t="shared" si="534"/>
        <v>1035</v>
      </c>
      <c r="B1068" s="6">
        <f t="shared" si="535"/>
        <v>1035</v>
      </c>
      <c r="C1068" s="19" t="s">
        <v>608</v>
      </c>
      <c r="D1068" s="4">
        <f t="shared" si="533"/>
        <v>7435962.7000000002</v>
      </c>
      <c r="E1068" s="1">
        <f t="shared" si="536"/>
        <v>628567.19999999995</v>
      </c>
      <c r="F1068" s="1">
        <f>804*781.8</f>
        <v>628567.19999999995</v>
      </c>
      <c r="G1068" s="1">
        <v>0</v>
      </c>
      <c r="H1068" s="1">
        <v>0</v>
      </c>
      <c r="I1068" s="1">
        <v>0</v>
      </c>
      <c r="J1068" s="1">
        <v>0</v>
      </c>
      <c r="K1068" s="1">
        <v>0</v>
      </c>
      <c r="L1068" s="2">
        <v>0</v>
      </c>
      <c r="M1068" s="1">
        <v>0</v>
      </c>
      <c r="N1068" s="1">
        <v>620</v>
      </c>
      <c r="O1068" s="1">
        <f>N1068*7750</f>
        <v>4805000</v>
      </c>
      <c r="P1068" s="1">
        <v>0</v>
      </c>
      <c r="Q1068" s="1">
        <f t="shared" si="537"/>
        <v>0</v>
      </c>
      <c r="R1068" s="1">
        <v>520.5</v>
      </c>
      <c r="S1068" s="1">
        <f t="shared" si="538"/>
        <v>1952395.5</v>
      </c>
      <c r="T1068" s="1">
        <v>0</v>
      </c>
      <c r="U1068" s="1">
        <v>50000</v>
      </c>
      <c r="V1068" s="1">
        <v>0</v>
      </c>
      <c r="W1068" s="1">
        <v>0</v>
      </c>
      <c r="X1068" s="1">
        <v>0</v>
      </c>
      <c r="Y1068" s="1">
        <v>0</v>
      </c>
      <c r="Z1068" s="1">
        <v>0</v>
      </c>
      <c r="AA1068" s="1">
        <v>0</v>
      </c>
      <c r="AB1068" s="1">
        <v>0</v>
      </c>
      <c r="AC1068" s="1">
        <v>0</v>
      </c>
      <c r="AD1068" s="1">
        <v>0</v>
      </c>
    </row>
    <row r="1069" spans="1:30" s="20" customFormat="1" ht="54.95" customHeight="1" x14ac:dyDescent="0.25">
      <c r="A1069" s="3"/>
      <c r="B1069" s="47" t="s">
        <v>1987</v>
      </c>
      <c r="C1069" s="48"/>
      <c r="D1069" s="4">
        <f>SUM(D1070:D1074)</f>
        <v>14777890.5</v>
      </c>
      <c r="E1069" s="4">
        <f t="shared" ref="E1069:AD1069" si="539">SUM(E1070:E1074)</f>
        <v>5075916.5</v>
      </c>
      <c r="F1069" s="4">
        <f t="shared" si="539"/>
        <v>1825803.6</v>
      </c>
      <c r="G1069" s="4">
        <f t="shared" si="539"/>
        <v>1374716</v>
      </c>
      <c r="H1069" s="4">
        <f t="shared" si="539"/>
        <v>1875396.9</v>
      </c>
      <c r="I1069" s="4">
        <f t="shared" si="539"/>
        <v>0</v>
      </c>
      <c r="J1069" s="4">
        <f t="shared" si="539"/>
        <v>0</v>
      </c>
      <c r="K1069" s="4">
        <f t="shared" si="539"/>
        <v>0</v>
      </c>
      <c r="L1069" s="17">
        <f t="shared" si="539"/>
        <v>0</v>
      </c>
      <c r="M1069" s="4">
        <f t="shared" si="539"/>
        <v>0</v>
      </c>
      <c r="N1069" s="4">
        <f t="shared" si="539"/>
        <v>785</v>
      </c>
      <c r="O1069" s="4">
        <f t="shared" si="539"/>
        <v>4623200</v>
      </c>
      <c r="P1069" s="4">
        <f t="shared" si="539"/>
        <v>0</v>
      </c>
      <c r="Q1069" s="4">
        <f t="shared" si="539"/>
        <v>0</v>
      </c>
      <c r="R1069" s="4">
        <f t="shared" si="539"/>
        <v>1274</v>
      </c>
      <c r="S1069" s="4">
        <f t="shared" si="539"/>
        <v>4778774</v>
      </c>
      <c r="T1069" s="4">
        <f t="shared" si="539"/>
        <v>0</v>
      </c>
      <c r="U1069" s="4">
        <f t="shared" si="539"/>
        <v>200000</v>
      </c>
      <c r="V1069" s="4">
        <f t="shared" si="539"/>
        <v>0</v>
      </c>
      <c r="W1069" s="4">
        <f t="shared" si="539"/>
        <v>100000</v>
      </c>
      <c r="X1069" s="4">
        <f t="shared" si="539"/>
        <v>0</v>
      </c>
      <c r="Y1069" s="4">
        <f t="shared" si="539"/>
        <v>0</v>
      </c>
      <c r="Z1069" s="4">
        <f t="shared" si="539"/>
        <v>0</v>
      </c>
      <c r="AA1069" s="4">
        <f t="shared" si="539"/>
        <v>0</v>
      </c>
      <c r="AB1069" s="4">
        <f t="shared" si="539"/>
        <v>0</v>
      </c>
      <c r="AC1069" s="4">
        <f t="shared" si="539"/>
        <v>0</v>
      </c>
      <c r="AD1069" s="4">
        <f t="shared" si="539"/>
        <v>0</v>
      </c>
    </row>
    <row r="1070" spans="1:30" s="20" customFormat="1" ht="36" customHeight="1" x14ac:dyDescent="0.25">
      <c r="A1070" s="2">
        <f>ROW()-ROW($A$11)-23</f>
        <v>1036</v>
      </c>
      <c r="B1070" s="6">
        <f>A1070</f>
        <v>1036</v>
      </c>
      <c r="C1070" s="19" t="s">
        <v>2478</v>
      </c>
      <c r="D1070" s="4">
        <f>E1070+M1070+O1070+Q1070+S1070+T1070+U1070+V1070+W1070+X1070+Z1070+AA1070+AB1070+AC1070+AD1070</f>
        <v>4355163.5999999996</v>
      </c>
      <c r="E1070" s="1">
        <f>SUM(F1070:K1070)</f>
        <v>349659.6</v>
      </c>
      <c r="F1070" s="1">
        <f>804*434.9</f>
        <v>349659.6</v>
      </c>
      <c r="G1070" s="1">
        <v>0</v>
      </c>
      <c r="H1070" s="1">
        <v>0</v>
      </c>
      <c r="I1070" s="1">
        <v>0</v>
      </c>
      <c r="J1070" s="1">
        <v>0</v>
      </c>
      <c r="K1070" s="1">
        <v>0</v>
      </c>
      <c r="L1070" s="2">
        <v>0</v>
      </c>
      <c r="M1070" s="1">
        <v>0</v>
      </c>
      <c r="N1070" s="1">
        <v>260</v>
      </c>
      <c r="O1070" s="1">
        <f>N1070*7750</f>
        <v>2015000</v>
      </c>
      <c r="P1070" s="1">
        <v>0</v>
      </c>
      <c r="Q1070" s="1">
        <f>P1070*1400</f>
        <v>0</v>
      </c>
      <c r="R1070" s="1">
        <v>504</v>
      </c>
      <c r="S1070" s="1">
        <f>R1070*3751</f>
        <v>1890504</v>
      </c>
      <c r="T1070" s="1">
        <v>0</v>
      </c>
      <c r="U1070" s="1">
        <v>50000</v>
      </c>
      <c r="V1070" s="1">
        <v>0</v>
      </c>
      <c r="W1070" s="1">
        <v>50000</v>
      </c>
      <c r="X1070" s="1">
        <v>0</v>
      </c>
      <c r="Y1070" s="1">
        <v>0</v>
      </c>
      <c r="Z1070" s="1">
        <v>0</v>
      </c>
      <c r="AA1070" s="1">
        <v>0</v>
      </c>
      <c r="AB1070" s="1">
        <v>0</v>
      </c>
      <c r="AC1070" s="1">
        <v>0</v>
      </c>
      <c r="AD1070" s="1">
        <v>0</v>
      </c>
    </row>
    <row r="1071" spans="1:30" s="20" customFormat="1" ht="36" customHeight="1" x14ac:dyDescent="0.25">
      <c r="A1071" s="2">
        <f t="shared" ref="A1071:A1074" si="540">ROW()-ROW($A$11)-23</f>
        <v>1037</v>
      </c>
      <c r="B1071" s="6">
        <f t="shared" ref="B1071" si="541">A1071</f>
        <v>1037</v>
      </c>
      <c r="C1071" s="19" t="s">
        <v>2479</v>
      </c>
      <c r="D1071" s="4">
        <f>E1071+M1071+O1071+Q1071+S1071+T1071+U1071+V1071+W1071+X1071+Z1071+AA1071+AB1071+AC1071+AD1071</f>
        <v>2608200</v>
      </c>
      <c r="E1071" s="1">
        <f t="shared" ref="E1071" si="542">SUM(F1071:J1071)</f>
        <v>0</v>
      </c>
      <c r="F1071" s="1">
        <v>0</v>
      </c>
      <c r="G1071" s="1">
        <v>0</v>
      </c>
      <c r="H1071" s="1">
        <v>0</v>
      </c>
      <c r="I1071" s="1">
        <v>0</v>
      </c>
      <c r="J1071" s="1">
        <v>0</v>
      </c>
      <c r="K1071" s="1">
        <v>0</v>
      </c>
      <c r="L1071" s="2">
        <v>0</v>
      </c>
      <c r="M1071" s="1">
        <v>0</v>
      </c>
      <c r="N1071" s="1">
        <v>525</v>
      </c>
      <c r="O1071" s="1">
        <f>N1071*4968</f>
        <v>2608200</v>
      </c>
      <c r="P1071" s="1">
        <v>0</v>
      </c>
      <c r="Q1071" s="1">
        <f t="shared" ref="Q1071" si="543">P1071*1400</f>
        <v>0</v>
      </c>
      <c r="R1071" s="1">
        <v>0</v>
      </c>
      <c r="S1071" s="1">
        <f t="shared" ref="S1071" si="544">R1071*3751</f>
        <v>0</v>
      </c>
      <c r="T1071" s="1">
        <v>0</v>
      </c>
      <c r="U1071" s="1">
        <v>0</v>
      </c>
      <c r="V1071" s="1">
        <v>0</v>
      </c>
      <c r="W1071" s="1">
        <v>0</v>
      </c>
      <c r="X1071" s="1">
        <v>0</v>
      </c>
      <c r="Y1071" s="1">
        <v>0</v>
      </c>
      <c r="Z1071" s="1">
        <v>0</v>
      </c>
      <c r="AA1071" s="1">
        <v>0</v>
      </c>
      <c r="AB1071" s="1">
        <v>0</v>
      </c>
      <c r="AC1071" s="1">
        <v>0</v>
      </c>
      <c r="AD1071" s="1">
        <v>0</v>
      </c>
    </row>
    <row r="1072" spans="1:30" s="20" customFormat="1" ht="36" customHeight="1" x14ac:dyDescent="0.25">
      <c r="A1072" s="2">
        <f t="shared" si="540"/>
        <v>1038</v>
      </c>
      <c r="B1072" s="6">
        <f>A1072</f>
        <v>1038</v>
      </c>
      <c r="C1072" s="19" t="s">
        <v>1824</v>
      </c>
      <c r="D1072" s="4">
        <f>E1072+M1072+O1072+Q1072+S1072+T1072+U1072+V1072+W1072+X1072+Z1072+AA1072+AB1072+AC1072+AD1072</f>
        <v>5015834</v>
      </c>
      <c r="E1072" s="1">
        <f>SUM(F1072:K1072)</f>
        <v>2027564</v>
      </c>
      <c r="F1072" s="1">
        <f>804*812</f>
        <v>652848</v>
      </c>
      <c r="G1072" s="1">
        <f>1693*812</f>
        <v>1374716</v>
      </c>
      <c r="H1072" s="1">
        <v>0</v>
      </c>
      <c r="I1072" s="1">
        <v>0</v>
      </c>
      <c r="J1072" s="1">
        <v>0</v>
      </c>
      <c r="K1072" s="1">
        <v>0</v>
      </c>
      <c r="L1072" s="2">
        <v>0</v>
      </c>
      <c r="M1072" s="1">
        <v>0</v>
      </c>
      <c r="N1072" s="1">
        <v>0</v>
      </c>
      <c r="O1072" s="1">
        <v>0</v>
      </c>
      <c r="P1072" s="1">
        <v>0</v>
      </c>
      <c r="Q1072" s="1">
        <f>P1072*1400</f>
        <v>0</v>
      </c>
      <c r="R1072" s="1">
        <v>770</v>
      </c>
      <c r="S1072" s="1">
        <f>R1072*3751</f>
        <v>2888270</v>
      </c>
      <c r="T1072" s="1">
        <v>0</v>
      </c>
      <c r="U1072" s="1">
        <v>50000</v>
      </c>
      <c r="V1072" s="1">
        <v>0</v>
      </c>
      <c r="W1072" s="1">
        <v>50000</v>
      </c>
      <c r="X1072" s="1">
        <v>0</v>
      </c>
      <c r="Y1072" s="1">
        <v>0</v>
      </c>
      <c r="Z1072" s="1">
        <v>0</v>
      </c>
      <c r="AA1072" s="1">
        <v>0</v>
      </c>
      <c r="AB1072" s="1">
        <v>0</v>
      </c>
      <c r="AC1072" s="1">
        <v>0</v>
      </c>
      <c r="AD1072" s="1">
        <v>0</v>
      </c>
    </row>
    <row r="1073" spans="1:30" s="20" customFormat="1" ht="36" customHeight="1" x14ac:dyDescent="0.25">
      <c r="A1073" s="2">
        <f t="shared" si="540"/>
        <v>1039</v>
      </c>
      <c r="B1073" s="6">
        <f t="shared" ref="B1073" si="545">A1073</f>
        <v>1039</v>
      </c>
      <c r="C1073" s="19" t="s">
        <v>1788</v>
      </c>
      <c r="D1073" s="4">
        <f>E1073+M1073+O1073+Q1073+S1073+T1073+U1073+V1073+W1073+X1073+Z1073+AA1073+AB1073+AC1073+AD1073</f>
        <v>873296</v>
      </c>
      <c r="E1073" s="1">
        <f t="shared" ref="E1073" si="546">SUM(F1073:J1073)</f>
        <v>823296</v>
      </c>
      <c r="F1073" s="1">
        <f>804*1024</f>
        <v>823296</v>
      </c>
      <c r="G1073" s="1">
        <v>0</v>
      </c>
      <c r="H1073" s="1">
        <v>0</v>
      </c>
      <c r="I1073" s="1">
        <v>0</v>
      </c>
      <c r="J1073" s="1">
        <v>0</v>
      </c>
      <c r="K1073" s="1">
        <v>0</v>
      </c>
      <c r="L1073" s="2">
        <v>0</v>
      </c>
      <c r="M1073" s="1">
        <v>0</v>
      </c>
      <c r="N1073" s="1">
        <v>0</v>
      </c>
      <c r="O1073" s="1">
        <f>N1073*7750</f>
        <v>0</v>
      </c>
      <c r="P1073" s="1">
        <v>0</v>
      </c>
      <c r="Q1073" s="1">
        <f t="shared" ref="Q1073" si="547">P1073*1400</f>
        <v>0</v>
      </c>
      <c r="R1073" s="1">
        <v>0</v>
      </c>
      <c r="S1073" s="1">
        <f t="shared" ref="S1073" si="548">R1073*3751</f>
        <v>0</v>
      </c>
      <c r="T1073" s="1">
        <v>0</v>
      </c>
      <c r="U1073" s="1">
        <v>50000</v>
      </c>
      <c r="V1073" s="1">
        <v>0</v>
      </c>
      <c r="W1073" s="1">
        <v>0</v>
      </c>
      <c r="X1073" s="1">
        <v>0</v>
      </c>
      <c r="Y1073" s="1">
        <v>0</v>
      </c>
      <c r="Z1073" s="1">
        <v>0</v>
      </c>
      <c r="AA1073" s="1">
        <v>0</v>
      </c>
      <c r="AB1073" s="1">
        <v>0</v>
      </c>
      <c r="AC1073" s="1">
        <v>0</v>
      </c>
      <c r="AD1073" s="1">
        <v>0</v>
      </c>
    </row>
    <row r="1074" spans="1:30" s="20" customFormat="1" ht="36" customHeight="1" x14ac:dyDescent="0.25">
      <c r="A1074" s="2">
        <f t="shared" si="540"/>
        <v>1040</v>
      </c>
      <c r="B1074" s="6">
        <f>A1074</f>
        <v>1040</v>
      </c>
      <c r="C1074" s="19" t="s">
        <v>1792</v>
      </c>
      <c r="D1074" s="4">
        <f>E1074+M1074+O1074+Q1074+S1074+T1074+U1074+V1074+W1074+X1074+Z1074+AA1074+AB1074+AC1074+AD1074</f>
        <v>1925396.9</v>
      </c>
      <c r="E1074" s="1">
        <f>SUM(F1074:K1074)</f>
        <v>1875396.9</v>
      </c>
      <c r="F1074" s="1">
        <v>0</v>
      </c>
      <c r="G1074" s="1">
        <v>0</v>
      </c>
      <c r="H1074" s="1">
        <f>390*4808.71</f>
        <v>1875396.9</v>
      </c>
      <c r="I1074" s="1">
        <v>0</v>
      </c>
      <c r="J1074" s="1">
        <v>0</v>
      </c>
      <c r="K1074" s="1">
        <v>0</v>
      </c>
      <c r="L1074" s="2">
        <v>0</v>
      </c>
      <c r="M1074" s="1">
        <v>0</v>
      </c>
      <c r="N1074" s="1">
        <v>0</v>
      </c>
      <c r="O1074" s="1">
        <v>0</v>
      </c>
      <c r="P1074" s="1">
        <v>0</v>
      </c>
      <c r="Q1074" s="1">
        <f>P1074*1400</f>
        <v>0</v>
      </c>
      <c r="R1074" s="1">
        <v>0</v>
      </c>
      <c r="S1074" s="1">
        <f>R1074*3751</f>
        <v>0</v>
      </c>
      <c r="T1074" s="1">
        <v>0</v>
      </c>
      <c r="U1074" s="1">
        <v>50000</v>
      </c>
      <c r="V1074" s="1">
        <v>0</v>
      </c>
      <c r="W1074" s="1">
        <v>0</v>
      </c>
      <c r="X1074" s="1">
        <v>0</v>
      </c>
      <c r="Y1074" s="1">
        <v>0</v>
      </c>
      <c r="Z1074" s="1">
        <v>0</v>
      </c>
      <c r="AA1074" s="1">
        <v>0</v>
      </c>
      <c r="AB1074" s="1">
        <v>0</v>
      </c>
      <c r="AC1074" s="1">
        <v>0</v>
      </c>
      <c r="AD1074" s="1">
        <v>0</v>
      </c>
    </row>
    <row r="1075" spans="1:30" s="20" customFormat="1" ht="54.95" customHeight="1" x14ac:dyDescent="0.25">
      <c r="A1075" s="3"/>
      <c r="B1075" s="47" t="s">
        <v>1988</v>
      </c>
      <c r="C1075" s="48"/>
      <c r="D1075" s="4">
        <f>SUM(D1076:D1095)</f>
        <v>125834893</v>
      </c>
      <c r="E1075" s="4">
        <f t="shared" ref="E1075:AD1075" si="549">SUM(E1076:E1095)</f>
        <v>19167635</v>
      </c>
      <c r="F1075" s="4">
        <f t="shared" si="549"/>
        <v>4860582</v>
      </c>
      <c r="G1075" s="4">
        <f t="shared" si="549"/>
        <v>8400327.4000000004</v>
      </c>
      <c r="H1075" s="4">
        <f t="shared" si="549"/>
        <v>2357745</v>
      </c>
      <c r="I1075" s="4">
        <f t="shared" si="549"/>
        <v>2529472.9</v>
      </c>
      <c r="J1075" s="4">
        <f t="shared" si="549"/>
        <v>1019507.7</v>
      </c>
      <c r="K1075" s="4">
        <f t="shared" si="549"/>
        <v>0</v>
      </c>
      <c r="L1075" s="17">
        <f t="shared" si="549"/>
        <v>0</v>
      </c>
      <c r="M1075" s="4">
        <f t="shared" si="549"/>
        <v>0</v>
      </c>
      <c r="N1075" s="4">
        <f t="shared" si="549"/>
        <v>10992</v>
      </c>
      <c r="O1075" s="4">
        <f t="shared" si="549"/>
        <v>83518800</v>
      </c>
      <c r="P1075" s="4">
        <f t="shared" si="549"/>
        <v>0</v>
      </c>
      <c r="Q1075" s="4">
        <f t="shared" si="549"/>
        <v>0</v>
      </c>
      <c r="R1075" s="4">
        <f t="shared" si="549"/>
        <v>5958</v>
      </c>
      <c r="S1075" s="4">
        <f t="shared" si="549"/>
        <v>22348458</v>
      </c>
      <c r="T1075" s="4">
        <f t="shared" si="549"/>
        <v>0</v>
      </c>
      <c r="U1075" s="4">
        <f t="shared" si="549"/>
        <v>450000</v>
      </c>
      <c r="V1075" s="4">
        <f t="shared" si="549"/>
        <v>0</v>
      </c>
      <c r="W1075" s="4">
        <f t="shared" si="549"/>
        <v>350000</v>
      </c>
      <c r="X1075" s="4">
        <f t="shared" si="549"/>
        <v>0</v>
      </c>
      <c r="Y1075" s="4">
        <f t="shared" si="549"/>
        <v>0</v>
      </c>
      <c r="Z1075" s="4">
        <f t="shared" si="549"/>
        <v>0</v>
      </c>
      <c r="AA1075" s="4">
        <f t="shared" si="549"/>
        <v>0</v>
      </c>
      <c r="AB1075" s="4">
        <f t="shared" si="549"/>
        <v>0</v>
      </c>
      <c r="AC1075" s="4">
        <f t="shared" si="549"/>
        <v>0</v>
      </c>
      <c r="AD1075" s="4">
        <f t="shared" si="549"/>
        <v>0</v>
      </c>
    </row>
    <row r="1076" spans="1:30" s="20" customFormat="1" ht="36" customHeight="1" x14ac:dyDescent="0.25">
      <c r="A1076" s="2">
        <f>ROW()-ROW($A$11)-24</f>
        <v>1041</v>
      </c>
      <c r="B1076" s="6">
        <f t="shared" ref="B1076" si="550">A1076</f>
        <v>1041</v>
      </c>
      <c r="C1076" s="19" t="s">
        <v>2206</v>
      </c>
      <c r="D1076" s="4">
        <f t="shared" ref="D1076:D1095" si="551">E1076+M1076+O1076+Q1076+S1076+T1076+U1076+V1076+W1076+X1076+Z1076+AA1076+AB1076+AC1076+AD1076</f>
        <v>8581825.6999999993</v>
      </c>
      <c r="E1076" s="1">
        <f t="shared" ref="E1076" si="552">SUM(F1076:J1076)</f>
        <v>1800025.7000000002</v>
      </c>
      <c r="F1076" s="1">
        <f>804*1083.7</f>
        <v>871294.8</v>
      </c>
      <c r="G1076" s="1">
        <v>0</v>
      </c>
      <c r="H1076" s="1">
        <f>390*1083.7</f>
        <v>422643</v>
      </c>
      <c r="I1076" s="1">
        <v>0</v>
      </c>
      <c r="J1076" s="1">
        <f>467*1083.7</f>
        <v>506087.9</v>
      </c>
      <c r="K1076" s="1">
        <v>0</v>
      </c>
      <c r="L1076" s="2">
        <v>0</v>
      </c>
      <c r="M1076" s="1">
        <v>0</v>
      </c>
      <c r="N1076" s="1">
        <v>600</v>
      </c>
      <c r="O1076" s="1">
        <f>N1076*4968</f>
        <v>2980800</v>
      </c>
      <c r="P1076" s="1">
        <v>0</v>
      </c>
      <c r="Q1076" s="1">
        <f t="shared" ref="Q1076" si="553">P1076*1400</f>
        <v>0</v>
      </c>
      <c r="R1076" s="1">
        <v>1000</v>
      </c>
      <c r="S1076" s="1">
        <f t="shared" ref="S1076" si="554">R1076*3751</f>
        <v>3751000</v>
      </c>
      <c r="T1076" s="1">
        <v>0</v>
      </c>
      <c r="U1076" s="1">
        <v>50000</v>
      </c>
      <c r="V1076" s="1">
        <v>0</v>
      </c>
      <c r="W1076" s="1">
        <v>0</v>
      </c>
      <c r="X1076" s="1">
        <v>0</v>
      </c>
      <c r="Y1076" s="1">
        <v>0</v>
      </c>
      <c r="Z1076" s="1">
        <v>0</v>
      </c>
      <c r="AA1076" s="1">
        <v>0</v>
      </c>
      <c r="AB1076" s="1">
        <v>0</v>
      </c>
      <c r="AC1076" s="1">
        <v>0</v>
      </c>
      <c r="AD1076" s="1">
        <v>0</v>
      </c>
    </row>
    <row r="1077" spans="1:30" s="20" customFormat="1" ht="36" customHeight="1" x14ac:dyDescent="0.25">
      <c r="A1077" s="2">
        <f t="shared" ref="A1077:A1095" si="555">ROW()-ROW($A$11)-24</f>
        <v>1042</v>
      </c>
      <c r="B1077" s="6">
        <f t="shared" ref="B1077:B1095" si="556">A1077</f>
        <v>1042</v>
      </c>
      <c r="C1077" s="19" t="s">
        <v>610</v>
      </c>
      <c r="D1077" s="4">
        <f t="shared" si="551"/>
        <v>3888103.4000000004</v>
      </c>
      <c r="E1077" s="1">
        <f t="shared" ref="E1077:E1086" si="557">SUM(F1077:K1077)</f>
        <v>1567511.4000000001</v>
      </c>
      <c r="F1077" s="1">
        <f>804*453.3</f>
        <v>364453.2</v>
      </c>
      <c r="G1077" s="1">
        <f>1693*453.3</f>
        <v>767436.9</v>
      </c>
      <c r="H1077" s="1">
        <f>390*453.3</f>
        <v>176787</v>
      </c>
      <c r="I1077" s="1">
        <f>571*453.3</f>
        <v>258834.30000000002</v>
      </c>
      <c r="J1077" s="1">
        <v>0</v>
      </c>
      <c r="K1077" s="1">
        <v>0</v>
      </c>
      <c r="L1077" s="2">
        <v>0</v>
      </c>
      <c r="M1077" s="1">
        <v>0</v>
      </c>
      <c r="N1077" s="1">
        <v>0</v>
      </c>
      <c r="O1077" s="1">
        <v>0</v>
      </c>
      <c r="P1077" s="1">
        <v>0</v>
      </c>
      <c r="Q1077" s="1">
        <f>P1077*1400</f>
        <v>0</v>
      </c>
      <c r="R1077" s="1">
        <v>592</v>
      </c>
      <c r="S1077" s="1">
        <f>R1077*3751</f>
        <v>2220592</v>
      </c>
      <c r="T1077" s="1">
        <v>0</v>
      </c>
      <c r="U1077" s="1">
        <v>50000</v>
      </c>
      <c r="V1077" s="1">
        <v>0</v>
      </c>
      <c r="W1077" s="1">
        <v>50000</v>
      </c>
      <c r="X1077" s="1">
        <v>0</v>
      </c>
      <c r="Y1077" s="1">
        <v>0</v>
      </c>
      <c r="Z1077" s="1">
        <v>0</v>
      </c>
      <c r="AA1077" s="1">
        <v>0</v>
      </c>
      <c r="AB1077" s="1">
        <v>0</v>
      </c>
      <c r="AC1077" s="1">
        <v>0</v>
      </c>
      <c r="AD1077" s="1">
        <v>0</v>
      </c>
    </row>
    <row r="1078" spans="1:30" s="20" customFormat="1" ht="36" customHeight="1" x14ac:dyDescent="0.25">
      <c r="A1078" s="2">
        <f t="shared" si="555"/>
        <v>1043</v>
      </c>
      <c r="B1078" s="6">
        <f t="shared" si="556"/>
        <v>1043</v>
      </c>
      <c r="C1078" s="19" t="s">
        <v>611</v>
      </c>
      <c r="D1078" s="4">
        <f t="shared" si="551"/>
        <v>2815087.5999999996</v>
      </c>
      <c r="E1078" s="1">
        <f t="shared" si="557"/>
        <v>1477257.5999999999</v>
      </c>
      <c r="F1078" s="1">
        <f>804*427.2</f>
        <v>343468.79999999999</v>
      </c>
      <c r="G1078" s="1">
        <f>1693*427.2</f>
        <v>723249.6</v>
      </c>
      <c r="H1078" s="1">
        <f>390*427.2</f>
        <v>166608</v>
      </c>
      <c r="I1078" s="1">
        <f>571*427.2</f>
        <v>243931.19999999998</v>
      </c>
      <c r="J1078" s="1">
        <v>0</v>
      </c>
      <c r="K1078" s="1">
        <v>0</v>
      </c>
      <c r="L1078" s="2">
        <v>0</v>
      </c>
      <c r="M1078" s="1">
        <v>0</v>
      </c>
      <c r="N1078" s="1">
        <v>0</v>
      </c>
      <c r="O1078" s="1">
        <v>0</v>
      </c>
      <c r="P1078" s="1">
        <v>0</v>
      </c>
      <c r="Q1078" s="1">
        <f t="shared" ref="Q1078:Q1095" si="558">P1078*1400</f>
        <v>0</v>
      </c>
      <c r="R1078" s="1">
        <v>330</v>
      </c>
      <c r="S1078" s="1">
        <f t="shared" ref="S1078:S1095" si="559">R1078*3751</f>
        <v>1237830</v>
      </c>
      <c r="T1078" s="1">
        <v>0</v>
      </c>
      <c r="U1078" s="1">
        <v>50000</v>
      </c>
      <c r="V1078" s="1">
        <v>0</v>
      </c>
      <c r="W1078" s="1">
        <v>50000</v>
      </c>
      <c r="X1078" s="1">
        <v>0</v>
      </c>
      <c r="Y1078" s="1">
        <v>0</v>
      </c>
      <c r="Z1078" s="1">
        <v>0</v>
      </c>
      <c r="AA1078" s="1">
        <v>0</v>
      </c>
      <c r="AB1078" s="1">
        <v>0</v>
      </c>
      <c r="AC1078" s="1">
        <v>0</v>
      </c>
      <c r="AD1078" s="1">
        <v>0</v>
      </c>
    </row>
    <row r="1079" spans="1:30" s="20" customFormat="1" ht="36" customHeight="1" x14ac:dyDescent="0.25">
      <c r="A1079" s="2">
        <f t="shared" si="555"/>
        <v>1044</v>
      </c>
      <c r="B1079" s="6">
        <f>A1079</f>
        <v>1044</v>
      </c>
      <c r="C1079" s="19" t="s">
        <v>1753</v>
      </c>
      <c r="D1079" s="4">
        <f t="shared" si="551"/>
        <v>6587500</v>
      </c>
      <c r="E1079" s="1">
        <f>SUM(F1079:K1079)</f>
        <v>0</v>
      </c>
      <c r="F1079" s="1">
        <v>0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2">
        <v>0</v>
      </c>
      <c r="M1079" s="1">
        <v>0</v>
      </c>
      <c r="N1079" s="1">
        <v>850</v>
      </c>
      <c r="O1079" s="1">
        <f>N1079*7750</f>
        <v>6587500</v>
      </c>
      <c r="P1079" s="1">
        <v>0</v>
      </c>
      <c r="Q1079" s="1">
        <f>P1079*1400</f>
        <v>0</v>
      </c>
      <c r="R1079" s="1">
        <v>0</v>
      </c>
      <c r="S1079" s="1">
        <f>R1079*3751</f>
        <v>0</v>
      </c>
      <c r="T1079" s="1">
        <v>0</v>
      </c>
      <c r="U1079" s="1">
        <v>0</v>
      </c>
      <c r="V1079" s="1">
        <v>0</v>
      </c>
      <c r="W1079" s="1">
        <v>0</v>
      </c>
      <c r="X1079" s="1">
        <v>0</v>
      </c>
      <c r="Y1079" s="1">
        <v>0</v>
      </c>
      <c r="Z1079" s="1">
        <v>0</v>
      </c>
      <c r="AA1079" s="1">
        <v>0</v>
      </c>
      <c r="AB1079" s="1">
        <v>0</v>
      </c>
      <c r="AC1079" s="1">
        <v>0</v>
      </c>
      <c r="AD1079" s="1">
        <v>0</v>
      </c>
    </row>
    <row r="1080" spans="1:30" s="20" customFormat="1" ht="36" customHeight="1" x14ac:dyDescent="0.25">
      <c r="A1080" s="2">
        <f t="shared" si="555"/>
        <v>1045</v>
      </c>
      <c r="B1080" s="6">
        <f t="shared" si="556"/>
        <v>1045</v>
      </c>
      <c r="C1080" s="19" t="s">
        <v>612</v>
      </c>
      <c r="D1080" s="4">
        <f t="shared" si="551"/>
        <v>8420000</v>
      </c>
      <c r="E1080" s="1">
        <f t="shared" si="557"/>
        <v>0</v>
      </c>
      <c r="F1080" s="1">
        <v>0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2">
        <v>0</v>
      </c>
      <c r="M1080" s="1">
        <v>0</v>
      </c>
      <c r="N1080" s="1">
        <v>1080</v>
      </c>
      <c r="O1080" s="1">
        <f>N1080*7750</f>
        <v>8370000</v>
      </c>
      <c r="P1080" s="1">
        <v>0</v>
      </c>
      <c r="Q1080" s="1">
        <f t="shared" si="558"/>
        <v>0</v>
      </c>
      <c r="R1080" s="1">
        <v>0</v>
      </c>
      <c r="S1080" s="1">
        <f t="shared" si="559"/>
        <v>0</v>
      </c>
      <c r="T1080" s="1">
        <v>0</v>
      </c>
      <c r="U1080" s="1">
        <v>0</v>
      </c>
      <c r="V1080" s="1">
        <v>0</v>
      </c>
      <c r="W1080" s="1">
        <v>50000</v>
      </c>
      <c r="X1080" s="1">
        <v>0</v>
      </c>
      <c r="Y1080" s="1">
        <v>0</v>
      </c>
      <c r="Z1080" s="1">
        <v>0</v>
      </c>
      <c r="AA1080" s="1">
        <v>0</v>
      </c>
      <c r="AB1080" s="1">
        <v>0</v>
      </c>
      <c r="AC1080" s="1">
        <v>0</v>
      </c>
      <c r="AD1080" s="1">
        <v>0</v>
      </c>
    </row>
    <row r="1081" spans="1:30" s="20" customFormat="1" ht="36" customHeight="1" x14ac:dyDescent="0.25">
      <c r="A1081" s="2">
        <f t="shared" si="555"/>
        <v>1046</v>
      </c>
      <c r="B1081" s="6">
        <f t="shared" si="556"/>
        <v>1046</v>
      </c>
      <c r="C1081" s="19" t="s">
        <v>613</v>
      </c>
      <c r="D1081" s="4">
        <f t="shared" si="551"/>
        <v>5204442</v>
      </c>
      <c r="E1081" s="1">
        <f t="shared" si="557"/>
        <v>2531256</v>
      </c>
      <c r="F1081" s="1">
        <f>804*732</f>
        <v>588528</v>
      </c>
      <c r="G1081" s="1">
        <f>1693*732</f>
        <v>1239276</v>
      </c>
      <c r="H1081" s="1">
        <f>390*732</f>
        <v>285480</v>
      </c>
      <c r="I1081" s="1">
        <f>571*732</f>
        <v>417972</v>
      </c>
      <c r="J1081" s="1">
        <v>0</v>
      </c>
      <c r="K1081" s="1">
        <v>0</v>
      </c>
      <c r="L1081" s="2">
        <v>0</v>
      </c>
      <c r="M1081" s="1">
        <v>0</v>
      </c>
      <c r="N1081" s="1">
        <v>0</v>
      </c>
      <c r="O1081" s="1">
        <v>0</v>
      </c>
      <c r="P1081" s="1">
        <v>0</v>
      </c>
      <c r="Q1081" s="1">
        <f t="shared" si="558"/>
        <v>0</v>
      </c>
      <c r="R1081" s="1">
        <v>686</v>
      </c>
      <c r="S1081" s="1">
        <f t="shared" si="559"/>
        <v>2573186</v>
      </c>
      <c r="T1081" s="1">
        <v>0</v>
      </c>
      <c r="U1081" s="1">
        <v>50000</v>
      </c>
      <c r="V1081" s="1">
        <v>0</v>
      </c>
      <c r="W1081" s="1">
        <v>50000</v>
      </c>
      <c r="X1081" s="1">
        <v>0</v>
      </c>
      <c r="Y1081" s="1">
        <v>0</v>
      </c>
      <c r="Z1081" s="1">
        <v>0</v>
      </c>
      <c r="AA1081" s="1">
        <v>0</v>
      </c>
      <c r="AB1081" s="1">
        <v>0</v>
      </c>
      <c r="AC1081" s="1">
        <v>0</v>
      </c>
      <c r="AD1081" s="1">
        <v>0</v>
      </c>
    </row>
    <row r="1082" spans="1:30" s="20" customFormat="1" ht="36" customHeight="1" x14ac:dyDescent="0.25">
      <c r="A1082" s="2">
        <f t="shared" si="555"/>
        <v>1047</v>
      </c>
      <c r="B1082" s="6">
        <f t="shared" si="556"/>
        <v>1047</v>
      </c>
      <c r="C1082" s="19" t="s">
        <v>614</v>
      </c>
      <c r="D1082" s="4">
        <f t="shared" si="551"/>
        <v>5190610</v>
      </c>
      <c r="E1082" s="1">
        <f t="shared" si="557"/>
        <v>2517424</v>
      </c>
      <c r="F1082" s="1">
        <f>804*728</f>
        <v>585312</v>
      </c>
      <c r="G1082" s="1">
        <f>1693*728</f>
        <v>1232504</v>
      </c>
      <c r="H1082" s="1">
        <f>390*728</f>
        <v>283920</v>
      </c>
      <c r="I1082" s="1">
        <f>571*728</f>
        <v>415688</v>
      </c>
      <c r="J1082" s="1">
        <v>0</v>
      </c>
      <c r="K1082" s="1">
        <v>0</v>
      </c>
      <c r="L1082" s="2">
        <v>0</v>
      </c>
      <c r="M1082" s="1">
        <v>0</v>
      </c>
      <c r="N1082" s="1">
        <v>0</v>
      </c>
      <c r="O1082" s="1">
        <v>0</v>
      </c>
      <c r="P1082" s="1">
        <v>0</v>
      </c>
      <c r="Q1082" s="1">
        <f t="shared" si="558"/>
        <v>0</v>
      </c>
      <c r="R1082" s="1">
        <v>686</v>
      </c>
      <c r="S1082" s="1">
        <f t="shared" si="559"/>
        <v>2573186</v>
      </c>
      <c r="T1082" s="1">
        <v>0</v>
      </c>
      <c r="U1082" s="1">
        <v>50000</v>
      </c>
      <c r="V1082" s="1">
        <v>0</v>
      </c>
      <c r="W1082" s="1">
        <v>50000</v>
      </c>
      <c r="X1082" s="1">
        <v>0</v>
      </c>
      <c r="Y1082" s="1">
        <v>0</v>
      </c>
      <c r="Z1082" s="1">
        <v>0</v>
      </c>
      <c r="AA1082" s="1">
        <v>0</v>
      </c>
      <c r="AB1082" s="1">
        <v>0</v>
      </c>
      <c r="AC1082" s="1">
        <v>0</v>
      </c>
      <c r="AD1082" s="1">
        <v>0</v>
      </c>
    </row>
    <row r="1083" spans="1:30" s="20" customFormat="1" ht="36" customHeight="1" x14ac:dyDescent="0.25">
      <c r="A1083" s="2">
        <f t="shared" si="555"/>
        <v>1048</v>
      </c>
      <c r="B1083" s="6">
        <f t="shared" si="556"/>
        <v>1048</v>
      </c>
      <c r="C1083" s="19" t="s">
        <v>615</v>
      </c>
      <c r="D1083" s="4">
        <f t="shared" si="551"/>
        <v>5420221.1999999993</v>
      </c>
      <c r="E1083" s="1">
        <f t="shared" si="557"/>
        <v>2747035.1999999997</v>
      </c>
      <c r="F1083" s="1">
        <f>804*794.4</f>
        <v>638697.6</v>
      </c>
      <c r="G1083" s="1">
        <f>1693*794.4</f>
        <v>1344919.2</v>
      </c>
      <c r="H1083" s="1">
        <f>390*794.4</f>
        <v>309816</v>
      </c>
      <c r="I1083" s="1">
        <f>571*794.4</f>
        <v>453602.39999999997</v>
      </c>
      <c r="J1083" s="1">
        <v>0</v>
      </c>
      <c r="K1083" s="1">
        <v>0</v>
      </c>
      <c r="L1083" s="2">
        <v>0</v>
      </c>
      <c r="M1083" s="1">
        <v>0</v>
      </c>
      <c r="N1083" s="1">
        <v>0</v>
      </c>
      <c r="O1083" s="1">
        <v>0</v>
      </c>
      <c r="P1083" s="1">
        <v>0</v>
      </c>
      <c r="Q1083" s="1">
        <f t="shared" si="558"/>
        <v>0</v>
      </c>
      <c r="R1083" s="1">
        <v>686</v>
      </c>
      <c r="S1083" s="1">
        <f t="shared" si="559"/>
        <v>2573186</v>
      </c>
      <c r="T1083" s="1">
        <v>0</v>
      </c>
      <c r="U1083" s="1">
        <v>50000</v>
      </c>
      <c r="V1083" s="1">
        <v>0</v>
      </c>
      <c r="W1083" s="1">
        <v>50000</v>
      </c>
      <c r="X1083" s="1">
        <v>0</v>
      </c>
      <c r="Y1083" s="1">
        <v>0</v>
      </c>
      <c r="Z1083" s="1">
        <v>0</v>
      </c>
      <c r="AA1083" s="1">
        <v>0</v>
      </c>
      <c r="AB1083" s="1">
        <v>0</v>
      </c>
      <c r="AC1083" s="1">
        <v>0</v>
      </c>
      <c r="AD1083" s="1">
        <v>0</v>
      </c>
    </row>
    <row r="1084" spans="1:30" s="20" customFormat="1" ht="36" customHeight="1" x14ac:dyDescent="0.25">
      <c r="A1084" s="2">
        <f t="shared" si="555"/>
        <v>1049</v>
      </c>
      <c r="B1084" s="6">
        <f t="shared" si="556"/>
        <v>1049</v>
      </c>
      <c r="C1084" s="19" t="s">
        <v>1754</v>
      </c>
      <c r="D1084" s="4">
        <f t="shared" si="551"/>
        <v>5037500</v>
      </c>
      <c r="E1084" s="1">
        <f t="shared" si="557"/>
        <v>0</v>
      </c>
      <c r="F1084" s="1">
        <v>0</v>
      </c>
      <c r="G1084" s="1">
        <v>0</v>
      </c>
      <c r="H1084" s="1">
        <v>0</v>
      </c>
      <c r="I1084" s="1">
        <v>0</v>
      </c>
      <c r="J1084" s="1">
        <v>0</v>
      </c>
      <c r="K1084" s="1">
        <v>0</v>
      </c>
      <c r="L1084" s="2">
        <v>0</v>
      </c>
      <c r="M1084" s="1">
        <v>0</v>
      </c>
      <c r="N1084" s="1">
        <v>650</v>
      </c>
      <c r="O1084" s="1">
        <f t="shared" ref="O1084:O1095" si="560">N1084*7750</f>
        <v>5037500</v>
      </c>
      <c r="P1084" s="1">
        <v>0</v>
      </c>
      <c r="Q1084" s="1">
        <f t="shared" si="558"/>
        <v>0</v>
      </c>
      <c r="R1084" s="1">
        <v>0</v>
      </c>
      <c r="S1084" s="1">
        <f t="shared" si="559"/>
        <v>0</v>
      </c>
      <c r="T1084" s="1">
        <v>0</v>
      </c>
      <c r="U1084" s="1">
        <v>0</v>
      </c>
      <c r="V1084" s="1">
        <v>0</v>
      </c>
      <c r="W1084" s="1">
        <v>0</v>
      </c>
      <c r="X1084" s="1">
        <v>0</v>
      </c>
      <c r="Y1084" s="1">
        <v>0</v>
      </c>
      <c r="Z1084" s="1">
        <v>0</v>
      </c>
      <c r="AA1084" s="1">
        <v>0</v>
      </c>
      <c r="AB1084" s="1">
        <v>0</v>
      </c>
      <c r="AC1084" s="1">
        <v>0</v>
      </c>
      <c r="AD1084" s="1">
        <v>0</v>
      </c>
    </row>
    <row r="1085" spans="1:30" s="20" customFormat="1" ht="36" customHeight="1" x14ac:dyDescent="0.25">
      <c r="A1085" s="2">
        <f t="shared" si="555"/>
        <v>1050</v>
      </c>
      <c r="B1085" s="6">
        <f t="shared" si="556"/>
        <v>1050</v>
      </c>
      <c r="C1085" s="19" t="s">
        <v>1137</v>
      </c>
      <c r="D1085" s="4">
        <f t="shared" si="551"/>
        <v>10373727</v>
      </c>
      <c r="E1085" s="1">
        <f t="shared" si="557"/>
        <v>2515695</v>
      </c>
      <c r="F1085" s="1">
        <f>804*727.5</f>
        <v>584910</v>
      </c>
      <c r="G1085" s="1">
        <f>1693*727.5</f>
        <v>1231657.5</v>
      </c>
      <c r="H1085" s="1">
        <f>390*727.5</f>
        <v>283725</v>
      </c>
      <c r="I1085" s="1">
        <f>571*727.5</f>
        <v>415402.5</v>
      </c>
      <c r="J1085" s="1">
        <v>0</v>
      </c>
      <c r="K1085" s="1">
        <v>0</v>
      </c>
      <c r="L1085" s="2">
        <v>0</v>
      </c>
      <c r="M1085" s="1">
        <v>0</v>
      </c>
      <c r="N1085" s="1">
        <v>750</v>
      </c>
      <c r="O1085" s="1">
        <f t="shared" si="560"/>
        <v>5812500</v>
      </c>
      <c r="P1085" s="1">
        <v>0</v>
      </c>
      <c r="Q1085" s="1">
        <f t="shared" si="558"/>
        <v>0</v>
      </c>
      <c r="R1085" s="1">
        <v>532</v>
      </c>
      <c r="S1085" s="1">
        <f t="shared" si="559"/>
        <v>1995532</v>
      </c>
      <c r="T1085" s="1">
        <v>0</v>
      </c>
      <c r="U1085" s="1">
        <v>50000</v>
      </c>
      <c r="V1085" s="1">
        <v>0</v>
      </c>
      <c r="W1085" s="1">
        <v>0</v>
      </c>
      <c r="X1085" s="1">
        <v>0</v>
      </c>
      <c r="Y1085" s="1">
        <v>0</v>
      </c>
      <c r="Z1085" s="1">
        <v>0</v>
      </c>
      <c r="AA1085" s="1">
        <v>0</v>
      </c>
      <c r="AB1085" s="1">
        <v>0</v>
      </c>
      <c r="AC1085" s="1">
        <v>0</v>
      </c>
      <c r="AD1085" s="1">
        <v>0</v>
      </c>
    </row>
    <row r="1086" spans="1:30" s="20" customFormat="1" ht="36" customHeight="1" x14ac:dyDescent="0.25">
      <c r="A1086" s="2">
        <f t="shared" si="555"/>
        <v>1051</v>
      </c>
      <c r="B1086" s="6">
        <f t="shared" si="556"/>
        <v>1051</v>
      </c>
      <c r="C1086" s="19" t="s">
        <v>1755</v>
      </c>
      <c r="D1086" s="4">
        <f t="shared" si="551"/>
        <v>4262500</v>
      </c>
      <c r="E1086" s="1">
        <f t="shared" si="557"/>
        <v>0</v>
      </c>
      <c r="F1086" s="1">
        <v>0</v>
      </c>
      <c r="G1086" s="1">
        <v>0</v>
      </c>
      <c r="H1086" s="1">
        <v>0</v>
      </c>
      <c r="I1086" s="1">
        <v>0</v>
      </c>
      <c r="J1086" s="1">
        <v>0</v>
      </c>
      <c r="K1086" s="1">
        <v>0</v>
      </c>
      <c r="L1086" s="2">
        <v>0</v>
      </c>
      <c r="M1086" s="1">
        <v>0</v>
      </c>
      <c r="N1086" s="1">
        <v>550</v>
      </c>
      <c r="O1086" s="1">
        <f t="shared" si="560"/>
        <v>4262500</v>
      </c>
      <c r="P1086" s="1">
        <v>0</v>
      </c>
      <c r="Q1086" s="1">
        <f t="shared" si="558"/>
        <v>0</v>
      </c>
      <c r="R1086" s="1">
        <v>0</v>
      </c>
      <c r="S1086" s="1">
        <f t="shared" si="559"/>
        <v>0</v>
      </c>
      <c r="T1086" s="1">
        <v>0</v>
      </c>
      <c r="U1086" s="1">
        <v>0</v>
      </c>
      <c r="V1086" s="1">
        <v>0</v>
      </c>
      <c r="W1086" s="1">
        <v>0</v>
      </c>
      <c r="X1086" s="1">
        <v>0</v>
      </c>
      <c r="Y1086" s="1">
        <v>0</v>
      </c>
      <c r="Z1086" s="1">
        <v>0</v>
      </c>
      <c r="AA1086" s="1">
        <v>0</v>
      </c>
      <c r="AB1086" s="1">
        <v>0</v>
      </c>
      <c r="AC1086" s="1">
        <v>0</v>
      </c>
      <c r="AD1086" s="1">
        <v>0</v>
      </c>
    </row>
    <row r="1087" spans="1:30" s="20" customFormat="1" ht="36" customHeight="1" x14ac:dyDescent="0.25">
      <c r="A1087" s="2">
        <f t="shared" si="555"/>
        <v>1052</v>
      </c>
      <c r="B1087" s="6">
        <f>A1087</f>
        <v>1052</v>
      </c>
      <c r="C1087" s="19" t="s">
        <v>1756</v>
      </c>
      <c r="D1087" s="4">
        <f t="shared" si="551"/>
        <v>9687500</v>
      </c>
      <c r="E1087" s="1">
        <f>SUM(F1087:K1087)</f>
        <v>0</v>
      </c>
      <c r="F1087" s="1">
        <v>0</v>
      </c>
      <c r="G1087" s="1">
        <v>0</v>
      </c>
      <c r="H1087" s="1">
        <v>0</v>
      </c>
      <c r="I1087" s="1">
        <v>0</v>
      </c>
      <c r="J1087" s="1">
        <v>0</v>
      </c>
      <c r="K1087" s="1">
        <v>0</v>
      </c>
      <c r="L1087" s="2">
        <v>0</v>
      </c>
      <c r="M1087" s="1">
        <v>0</v>
      </c>
      <c r="N1087" s="1">
        <v>1250</v>
      </c>
      <c r="O1087" s="1">
        <f t="shared" si="560"/>
        <v>9687500</v>
      </c>
      <c r="P1087" s="1">
        <v>0</v>
      </c>
      <c r="Q1087" s="1">
        <f>P1087*1400</f>
        <v>0</v>
      </c>
      <c r="R1087" s="1">
        <v>0</v>
      </c>
      <c r="S1087" s="1">
        <f>R1087*3751</f>
        <v>0</v>
      </c>
      <c r="T1087" s="1">
        <v>0</v>
      </c>
      <c r="U1087" s="1">
        <v>0</v>
      </c>
      <c r="V1087" s="1">
        <v>0</v>
      </c>
      <c r="W1087" s="1">
        <v>0</v>
      </c>
      <c r="X1087" s="1">
        <v>0</v>
      </c>
      <c r="Y1087" s="1">
        <v>0</v>
      </c>
      <c r="Z1087" s="1">
        <v>0</v>
      </c>
      <c r="AA1087" s="1">
        <v>0</v>
      </c>
      <c r="AB1087" s="1">
        <v>0</v>
      </c>
      <c r="AC1087" s="1">
        <v>0</v>
      </c>
      <c r="AD1087" s="1">
        <v>0</v>
      </c>
    </row>
    <row r="1088" spans="1:30" s="20" customFormat="1" ht="36" customHeight="1" x14ac:dyDescent="0.25">
      <c r="A1088" s="2">
        <f t="shared" si="555"/>
        <v>1053</v>
      </c>
      <c r="B1088" s="6">
        <f t="shared" si="556"/>
        <v>1053</v>
      </c>
      <c r="C1088" s="19" t="s">
        <v>616</v>
      </c>
      <c r="D1088" s="4">
        <f t="shared" si="551"/>
        <v>5028414</v>
      </c>
      <c r="E1088" s="1">
        <v>0</v>
      </c>
      <c r="F1088" s="1">
        <v>0</v>
      </c>
      <c r="G1088" s="1">
        <v>0</v>
      </c>
      <c r="H1088" s="1">
        <v>0</v>
      </c>
      <c r="I1088" s="1">
        <v>0</v>
      </c>
      <c r="J1088" s="1">
        <v>0</v>
      </c>
      <c r="K1088" s="1">
        <v>0</v>
      </c>
      <c r="L1088" s="2">
        <v>0</v>
      </c>
      <c r="M1088" s="1">
        <v>0</v>
      </c>
      <c r="N1088" s="1">
        <v>442</v>
      </c>
      <c r="O1088" s="1">
        <f t="shared" si="560"/>
        <v>3425500</v>
      </c>
      <c r="P1088" s="1">
        <v>0</v>
      </c>
      <c r="Q1088" s="1">
        <f t="shared" si="558"/>
        <v>0</v>
      </c>
      <c r="R1088" s="1">
        <v>414</v>
      </c>
      <c r="S1088" s="1">
        <f t="shared" si="559"/>
        <v>1552914</v>
      </c>
      <c r="T1088" s="1">
        <v>0</v>
      </c>
      <c r="U1088" s="1">
        <v>0</v>
      </c>
      <c r="V1088" s="1">
        <v>0</v>
      </c>
      <c r="W1088" s="1">
        <v>50000</v>
      </c>
      <c r="X1088" s="1">
        <v>0</v>
      </c>
      <c r="Y1088" s="1">
        <v>0</v>
      </c>
      <c r="Z1088" s="1">
        <v>0</v>
      </c>
      <c r="AA1088" s="1">
        <v>0</v>
      </c>
      <c r="AB1088" s="1">
        <v>0</v>
      </c>
      <c r="AC1088" s="1">
        <v>0</v>
      </c>
      <c r="AD1088" s="1">
        <v>0</v>
      </c>
    </row>
    <row r="1089" spans="1:30" s="20" customFormat="1" ht="36" customHeight="1" x14ac:dyDescent="0.25">
      <c r="A1089" s="2">
        <f t="shared" si="555"/>
        <v>1054</v>
      </c>
      <c r="B1089" s="6">
        <f t="shared" ref="B1089" si="561">A1089</f>
        <v>1054</v>
      </c>
      <c r="C1089" s="19" t="s">
        <v>1759</v>
      </c>
      <c r="D1089" s="4">
        <f t="shared" si="551"/>
        <v>8415437.5</v>
      </c>
      <c r="E1089" s="1">
        <f t="shared" ref="E1089:E1095" si="562">SUM(F1089:K1089)</f>
        <v>2227437.5</v>
      </c>
      <c r="F1089" s="1">
        <f>804*567.5</f>
        <v>456270</v>
      </c>
      <c r="G1089" s="1">
        <f>1693*567.5</f>
        <v>960777.5</v>
      </c>
      <c r="H1089" s="1">
        <f>390*567.5</f>
        <v>221325</v>
      </c>
      <c r="I1089" s="1">
        <f>571*567.5</f>
        <v>324042.5</v>
      </c>
      <c r="J1089" s="1">
        <f>467*567.5</f>
        <v>265022.5</v>
      </c>
      <c r="K1089" s="1">
        <v>0</v>
      </c>
      <c r="L1089" s="2">
        <v>0</v>
      </c>
      <c r="M1089" s="1">
        <v>0</v>
      </c>
      <c r="N1089" s="1">
        <v>550</v>
      </c>
      <c r="O1089" s="1">
        <f t="shared" ref="O1089" si="563">N1089*7750</f>
        <v>4262500</v>
      </c>
      <c r="P1089" s="1">
        <v>0</v>
      </c>
      <c r="Q1089" s="1">
        <f t="shared" ref="Q1089" si="564">P1089*1400</f>
        <v>0</v>
      </c>
      <c r="R1089" s="1">
        <v>500</v>
      </c>
      <c r="S1089" s="1">
        <f t="shared" ref="S1089" si="565">R1089*3751</f>
        <v>1875500</v>
      </c>
      <c r="T1089" s="1">
        <v>0</v>
      </c>
      <c r="U1089" s="1">
        <v>50000</v>
      </c>
      <c r="V1089" s="1">
        <v>0</v>
      </c>
      <c r="W1089" s="1">
        <v>0</v>
      </c>
      <c r="X1089" s="1">
        <v>0</v>
      </c>
      <c r="Y1089" s="1">
        <v>0</v>
      </c>
      <c r="Z1089" s="1">
        <v>0</v>
      </c>
      <c r="AA1089" s="1">
        <v>0</v>
      </c>
      <c r="AB1089" s="1">
        <v>0</v>
      </c>
      <c r="AC1089" s="1">
        <v>0</v>
      </c>
      <c r="AD1089" s="1">
        <v>0</v>
      </c>
    </row>
    <row r="1090" spans="1:30" s="20" customFormat="1" ht="36" customHeight="1" x14ac:dyDescent="0.25">
      <c r="A1090" s="2">
        <f t="shared" si="555"/>
        <v>1055</v>
      </c>
      <c r="B1090" s="6">
        <f t="shared" si="556"/>
        <v>1055</v>
      </c>
      <c r="C1090" s="19" t="s">
        <v>2223</v>
      </c>
      <c r="D1090" s="4">
        <f t="shared" si="551"/>
        <v>4262500</v>
      </c>
      <c r="E1090" s="1">
        <f t="shared" si="562"/>
        <v>0</v>
      </c>
      <c r="F1090" s="1">
        <v>0</v>
      </c>
      <c r="G1090" s="1">
        <v>0</v>
      </c>
      <c r="H1090" s="1">
        <v>0</v>
      </c>
      <c r="I1090" s="1">
        <v>0</v>
      </c>
      <c r="J1090" s="1">
        <v>0</v>
      </c>
      <c r="K1090" s="1">
        <v>0</v>
      </c>
      <c r="L1090" s="2">
        <v>0</v>
      </c>
      <c r="M1090" s="1">
        <v>0</v>
      </c>
      <c r="N1090" s="1">
        <v>550</v>
      </c>
      <c r="O1090" s="1">
        <f t="shared" si="560"/>
        <v>4262500</v>
      </c>
      <c r="P1090" s="1">
        <v>0</v>
      </c>
      <c r="Q1090" s="1">
        <f t="shared" si="558"/>
        <v>0</v>
      </c>
      <c r="R1090" s="1">
        <v>0</v>
      </c>
      <c r="S1090" s="1">
        <f t="shared" si="559"/>
        <v>0</v>
      </c>
      <c r="T1090" s="1">
        <v>0</v>
      </c>
      <c r="U1090" s="1">
        <v>0</v>
      </c>
      <c r="V1090" s="1">
        <v>0</v>
      </c>
      <c r="W1090" s="1">
        <v>0</v>
      </c>
      <c r="X1090" s="1">
        <v>0</v>
      </c>
      <c r="Y1090" s="1">
        <v>0</v>
      </c>
      <c r="Z1090" s="1">
        <v>0</v>
      </c>
      <c r="AA1090" s="1">
        <v>0</v>
      </c>
      <c r="AB1090" s="1">
        <v>0</v>
      </c>
      <c r="AC1090" s="1">
        <v>0</v>
      </c>
      <c r="AD1090" s="1">
        <v>0</v>
      </c>
    </row>
    <row r="1091" spans="1:30" s="20" customFormat="1" ht="36" customHeight="1" x14ac:dyDescent="0.25">
      <c r="A1091" s="2">
        <f t="shared" si="555"/>
        <v>1056</v>
      </c>
      <c r="B1091" s="6">
        <f t="shared" ref="B1091" si="566">A1091</f>
        <v>1056</v>
      </c>
      <c r="C1091" s="19" t="s">
        <v>2224</v>
      </c>
      <c r="D1091" s="4">
        <f t="shared" si="551"/>
        <v>6587500</v>
      </c>
      <c r="E1091" s="1">
        <f t="shared" si="562"/>
        <v>0</v>
      </c>
      <c r="F1091" s="1">
        <v>0</v>
      </c>
      <c r="G1091" s="1">
        <v>0</v>
      </c>
      <c r="H1091" s="1">
        <v>0</v>
      </c>
      <c r="I1091" s="1">
        <v>0</v>
      </c>
      <c r="J1091" s="1">
        <v>0</v>
      </c>
      <c r="K1091" s="1">
        <v>0</v>
      </c>
      <c r="L1091" s="2">
        <v>0</v>
      </c>
      <c r="M1091" s="1">
        <v>0</v>
      </c>
      <c r="N1091" s="1">
        <v>850</v>
      </c>
      <c r="O1091" s="1">
        <f t="shared" ref="O1091" si="567">N1091*7750</f>
        <v>6587500</v>
      </c>
      <c r="P1091" s="1">
        <v>0</v>
      </c>
      <c r="Q1091" s="1">
        <f t="shared" ref="Q1091" si="568">P1091*1400</f>
        <v>0</v>
      </c>
      <c r="R1091" s="1">
        <v>0</v>
      </c>
      <c r="S1091" s="1">
        <f t="shared" ref="S1091" si="569">R1091*3751</f>
        <v>0</v>
      </c>
      <c r="T1091" s="1">
        <v>0</v>
      </c>
      <c r="U1091" s="1">
        <v>0</v>
      </c>
      <c r="V1091" s="1">
        <v>0</v>
      </c>
      <c r="W1091" s="1">
        <v>0</v>
      </c>
      <c r="X1091" s="1">
        <v>0</v>
      </c>
      <c r="Y1091" s="1">
        <v>0</v>
      </c>
      <c r="Z1091" s="1">
        <v>0</v>
      </c>
      <c r="AA1091" s="1">
        <v>0</v>
      </c>
      <c r="AB1091" s="1">
        <v>0</v>
      </c>
      <c r="AC1091" s="1">
        <v>0</v>
      </c>
      <c r="AD1091" s="1">
        <v>0</v>
      </c>
    </row>
    <row r="1092" spans="1:30" s="20" customFormat="1" ht="36" customHeight="1" x14ac:dyDescent="0.25">
      <c r="A1092" s="2">
        <f t="shared" si="555"/>
        <v>1057</v>
      </c>
      <c r="B1092" s="6">
        <f t="shared" si="556"/>
        <v>1057</v>
      </c>
      <c r="C1092" s="19" t="s">
        <v>1757</v>
      </c>
      <c r="D1092" s="4">
        <f t="shared" si="551"/>
        <v>6587500</v>
      </c>
      <c r="E1092" s="1">
        <f t="shared" si="562"/>
        <v>0</v>
      </c>
      <c r="F1092" s="1">
        <v>0</v>
      </c>
      <c r="G1092" s="1">
        <v>0</v>
      </c>
      <c r="H1092" s="1">
        <v>0</v>
      </c>
      <c r="I1092" s="1">
        <v>0</v>
      </c>
      <c r="J1092" s="1">
        <v>0</v>
      </c>
      <c r="K1092" s="1">
        <v>0</v>
      </c>
      <c r="L1092" s="2">
        <v>0</v>
      </c>
      <c r="M1092" s="1">
        <v>0</v>
      </c>
      <c r="N1092" s="1">
        <v>850</v>
      </c>
      <c r="O1092" s="1">
        <f t="shared" si="560"/>
        <v>6587500</v>
      </c>
      <c r="P1092" s="1">
        <v>0</v>
      </c>
      <c r="Q1092" s="1">
        <f t="shared" si="558"/>
        <v>0</v>
      </c>
      <c r="R1092" s="1">
        <v>0</v>
      </c>
      <c r="S1092" s="1">
        <f t="shared" si="559"/>
        <v>0</v>
      </c>
      <c r="T1092" s="1">
        <v>0</v>
      </c>
      <c r="U1092" s="1">
        <v>0</v>
      </c>
      <c r="V1092" s="1">
        <v>0</v>
      </c>
      <c r="W1092" s="1">
        <v>0</v>
      </c>
      <c r="X1092" s="1">
        <v>0</v>
      </c>
      <c r="Y1092" s="1">
        <v>0</v>
      </c>
      <c r="Z1092" s="1">
        <v>0</v>
      </c>
      <c r="AA1092" s="1">
        <v>0</v>
      </c>
      <c r="AB1092" s="1">
        <v>0</v>
      </c>
      <c r="AC1092" s="1">
        <v>0</v>
      </c>
      <c r="AD1092" s="1">
        <v>0</v>
      </c>
    </row>
    <row r="1093" spans="1:30" s="20" customFormat="1" ht="36" customHeight="1" x14ac:dyDescent="0.25">
      <c r="A1093" s="2">
        <f t="shared" si="555"/>
        <v>1058</v>
      </c>
      <c r="B1093" s="6">
        <f>A1093</f>
        <v>1058</v>
      </c>
      <c r="C1093" s="19" t="s">
        <v>1758</v>
      </c>
      <c r="D1093" s="4">
        <f t="shared" si="551"/>
        <v>6587500</v>
      </c>
      <c r="E1093" s="1">
        <f t="shared" si="562"/>
        <v>0</v>
      </c>
      <c r="F1093" s="1">
        <v>0</v>
      </c>
      <c r="G1093" s="1">
        <v>0</v>
      </c>
      <c r="H1093" s="1">
        <v>0</v>
      </c>
      <c r="I1093" s="1">
        <v>0</v>
      </c>
      <c r="J1093" s="1">
        <v>0</v>
      </c>
      <c r="K1093" s="1">
        <v>0</v>
      </c>
      <c r="L1093" s="2">
        <v>0</v>
      </c>
      <c r="M1093" s="1">
        <v>0</v>
      </c>
      <c r="N1093" s="1">
        <v>850</v>
      </c>
      <c r="O1093" s="1">
        <f t="shared" si="560"/>
        <v>6587500</v>
      </c>
      <c r="P1093" s="1">
        <v>0</v>
      </c>
      <c r="Q1093" s="1">
        <f>P1093*1400</f>
        <v>0</v>
      </c>
      <c r="R1093" s="1">
        <v>0</v>
      </c>
      <c r="S1093" s="1">
        <f>R1093*3751</f>
        <v>0</v>
      </c>
      <c r="T1093" s="1">
        <v>0</v>
      </c>
      <c r="U1093" s="1">
        <v>0</v>
      </c>
      <c r="V1093" s="1">
        <v>0</v>
      </c>
      <c r="W1093" s="1">
        <v>0</v>
      </c>
      <c r="X1093" s="1">
        <v>0</v>
      </c>
      <c r="Y1093" s="1">
        <v>0</v>
      </c>
      <c r="Z1093" s="1">
        <v>0</v>
      </c>
      <c r="AA1093" s="1">
        <v>0</v>
      </c>
      <c r="AB1093" s="1">
        <v>0</v>
      </c>
      <c r="AC1093" s="1">
        <v>0</v>
      </c>
      <c r="AD1093" s="1">
        <v>0</v>
      </c>
    </row>
    <row r="1094" spans="1:30" s="20" customFormat="1" ht="36" customHeight="1" x14ac:dyDescent="0.25">
      <c r="A1094" s="2">
        <f t="shared" si="555"/>
        <v>1059</v>
      </c>
      <c r="B1094" s="6">
        <f>A1094</f>
        <v>1059</v>
      </c>
      <c r="C1094" s="19" t="s">
        <v>1760</v>
      </c>
      <c r="D1094" s="4">
        <f t="shared" si="551"/>
        <v>3255000</v>
      </c>
      <c r="E1094" s="1">
        <f t="shared" si="562"/>
        <v>0</v>
      </c>
      <c r="F1094" s="1">
        <v>0</v>
      </c>
      <c r="G1094" s="1">
        <v>0</v>
      </c>
      <c r="H1094" s="1">
        <v>0</v>
      </c>
      <c r="I1094" s="1">
        <v>0</v>
      </c>
      <c r="J1094" s="1">
        <v>0</v>
      </c>
      <c r="K1094" s="1">
        <v>0</v>
      </c>
      <c r="L1094" s="2">
        <v>0</v>
      </c>
      <c r="M1094" s="1">
        <v>0</v>
      </c>
      <c r="N1094" s="1">
        <v>420</v>
      </c>
      <c r="O1094" s="1">
        <f t="shared" si="560"/>
        <v>3255000</v>
      </c>
      <c r="P1094" s="1">
        <v>0</v>
      </c>
      <c r="Q1094" s="1">
        <f>P1094*1400</f>
        <v>0</v>
      </c>
      <c r="R1094" s="1">
        <v>0</v>
      </c>
      <c r="S1094" s="1">
        <f>R1094*3751</f>
        <v>0</v>
      </c>
      <c r="T1094" s="1">
        <v>0</v>
      </c>
      <c r="U1094" s="1">
        <v>0</v>
      </c>
      <c r="V1094" s="1">
        <v>0</v>
      </c>
      <c r="W1094" s="1">
        <v>0</v>
      </c>
      <c r="X1094" s="1">
        <v>0</v>
      </c>
      <c r="Y1094" s="1">
        <v>0</v>
      </c>
      <c r="Z1094" s="1">
        <v>0</v>
      </c>
      <c r="AA1094" s="1">
        <v>0</v>
      </c>
      <c r="AB1094" s="1">
        <v>0</v>
      </c>
      <c r="AC1094" s="1">
        <v>0</v>
      </c>
      <c r="AD1094" s="1">
        <v>0</v>
      </c>
    </row>
    <row r="1095" spans="1:30" s="20" customFormat="1" ht="36" customHeight="1" x14ac:dyDescent="0.25">
      <c r="A1095" s="2">
        <f t="shared" si="555"/>
        <v>1060</v>
      </c>
      <c r="B1095" s="3">
        <f t="shared" si="556"/>
        <v>1060</v>
      </c>
      <c r="C1095" s="19" t="s">
        <v>1581</v>
      </c>
      <c r="D1095" s="4">
        <f t="shared" si="551"/>
        <v>9642024.5999999996</v>
      </c>
      <c r="E1095" s="1">
        <f t="shared" si="562"/>
        <v>1783992.5999999999</v>
      </c>
      <c r="F1095" s="1">
        <f>804*531.9</f>
        <v>427647.6</v>
      </c>
      <c r="G1095" s="1">
        <f>1693*531.9</f>
        <v>900506.7</v>
      </c>
      <c r="H1095" s="1">
        <f>390*531.9</f>
        <v>207441</v>
      </c>
      <c r="I1095" s="1">
        <v>0</v>
      </c>
      <c r="J1095" s="1">
        <f>467*531.9</f>
        <v>248397.3</v>
      </c>
      <c r="K1095" s="1">
        <v>0</v>
      </c>
      <c r="L1095" s="2">
        <v>0</v>
      </c>
      <c r="M1095" s="1">
        <v>0</v>
      </c>
      <c r="N1095" s="1">
        <v>750</v>
      </c>
      <c r="O1095" s="1">
        <f t="shared" si="560"/>
        <v>5812500</v>
      </c>
      <c r="P1095" s="1">
        <v>0</v>
      </c>
      <c r="Q1095" s="1">
        <f t="shared" si="558"/>
        <v>0</v>
      </c>
      <c r="R1095" s="1">
        <v>532</v>
      </c>
      <c r="S1095" s="1">
        <f t="shared" si="559"/>
        <v>1995532</v>
      </c>
      <c r="T1095" s="1">
        <v>0</v>
      </c>
      <c r="U1095" s="1">
        <v>50000</v>
      </c>
      <c r="V1095" s="1">
        <v>0</v>
      </c>
      <c r="W1095" s="1">
        <v>0</v>
      </c>
      <c r="X1095" s="1">
        <v>0</v>
      </c>
      <c r="Y1095" s="1">
        <v>0</v>
      </c>
      <c r="Z1095" s="1">
        <v>0</v>
      </c>
      <c r="AA1095" s="1">
        <v>0</v>
      </c>
      <c r="AB1095" s="1">
        <v>0</v>
      </c>
      <c r="AC1095" s="1">
        <v>0</v>
      </c>
      <c r="AD1095" s="1">
        <v>0</v>
      </c>
    </row>
    <row r="1096" spans="1:30" s="20" customFormat="1" ht="54.95" customHeight="1" x14ac:dyDescent="0.25">
      <c r="A1096" s="3"/>
      <c r="B1096" s="47" t="s">
        <v>1989</v>
      </c>
      <c r="C1096" s="48"/>
      <c r="D1096" s="4">
        <f>SUM(D1097:D1184)</f>
        <v>799763570.57000005</v>
      </c>
      <c r="E1096" s="4">
        <f t="shared" ref="E1096:AD1096" si="570">SUM(E1097:E1184)</f>
        <v>130623153.00000001</v>
      </c>
      <c r="F1096" s="4">
        <f t="shared" si="570"/>
        <v>30075951.599999998</v>
      </c>
      <c r="G1096" s="4">
        <f t="shared" si="570"/>
        <v>58967867.199999996</v>
      </c>
      <c r="H1096" s="4">
        <f t="shared" si="570"/>
        <v>14385189</v>
      </c>
      <c r="I1096" s="4">
        <f t="shared" si="570"/>
        <v>9968803.5</v>
      </c>
      <c r="J1096" s="4">
        <f t="shared" si="570"/>
        <v>17225341.699999999</v>
      </c>
      <c r="K1096" s="4">
        <f t="shared" si="570"/>
        <v>0</v>
      </c>
      <c r="L1096" s="17">
        <f t="shared" si="570"/>
        <v>155</v>
      </c>
      <c r="M1096" s="4">
        <f t="shared" si="570"/>
        <v>542500000</v>
      </c>
      <c r="N1096" s="4">
        <f t="shared" si="570"/>
        <v>10878</v>
      </c>
      <c r="O1096" s="4">
        <f t="shared" si="570"/>
        <v>80687900</v>
      </c>
      <c r="P1096" s="4">
        <f t="shared" si="570"/>
        <v>750</v>
      </c>
      <c r="Q1096" s="4">
        <f t="shared" si="570"/>
        <v>1050000</v>
      </c>
      <c r="R1096" s="4">
        <f t="shared" si="570"/>
        <v>8505.07</v>
      </c>
      <c r="S1096" s="4">
        <f t="shared" si="570"/>
        <v>31902517.57</v>
      </c>
      <c r="T1096" s="4">
        <f t="shared" si="570"/>
        <v>0</v>
      </c>
      <c r="U1096" s="4">
        <f t="shared" si="570"/>
        <v>12450000</v>
      </c>
      <c r="V1096" s="4">
        <f t="shared" si="570"/>
        <v>0</v>
      </c>
      <c r="W1096" s="4">
        <f t="shared" si="570"/>
        <v>550000</v>
      </c>
      <c r="X1096" s="4">
        <f t="shared" si="570"/>
        <v>0</v>
      </c>
      <c r="Y1096" s="4">
        <f t="shared" si="570"/>
        <v>0</v>
      </c>
      <c r="Z1096" s="4">
        <f t="shared" si="570"/>
        <v>0</v>
      </c>
      <c r="AA1096" s="4">
        <f t="shared" si="570"/>
        <v>0</v>
      </c>
      <c r="AB1096" s="4">
        <f t="shared" si="570"/>
        <v>0</v>
      </c>
      <c r="AC1096" s="4">
        <f t="shared" si="570"/>
        <v>0</v>
      </c>
      <c r="AD1096" s="4">
        <f t="shared" si="570"/>
        <v>0</v>
      </c>
    </row>
    <row r="1097" spans="1:30" s="20" customFormat="1" ht="36" customHeight="1" x14ac:dyDescent="0.25">
      <c r="A1097" s="2">
        <f>ROW()-ROW($A$11)-25</f>
        <v>1061</v>
      </c>
      <c r="B1097" s="6">
        <f t="shared" ref="B1097:B1108" si="571">A1097</f>
        <v>1061</v>
      </c>
      <c r="C1097" s="19" t="s">
        <v>2384</v>
      </c>
      <c r="D1097" s="4">
        <f t="shared" ref="D1097:D1128" si="572">E1097+M1097+O1097+Q1097+S1097+T1097+U1097+V1097+W1097+X1097+Z1097+AA1097+AB1097+AC1097+AD1097</f>
        <v>14200000</v>
      </c>
      <c r="E1097" s="1">
        <f t="shared" ref="E1097:E1108" si="573">SUM(F1097:K1097)</f>
        <v>0</v>
      </c>
      <c r="F1097" s="1">
        <v>0</v>
      </c>
      <c r="G1097" s="1">
        <v>0</v>
      </c>
      <c r="H1097" s="1">
        <v>0</v>
      </c>
      <c r="I1097" s="1">
        <v>0</v>
      </c>
      <c r="J1097" s="1">
        <v>0</v>
      </c>
      <c r="K1097" s="1">
        <v>0</v>
      </c>
      <c r="L1097" s="2">
        <v>4</v>
      </c>
      <c r="M1097" s="1">
        <f t="shared" ref="M1097:M1108" si="574">L1097*3500000</f>
        <v>14000000</v>
      </c>
      <c r="N1097" s="1">
        <v>0</v>
      </c>
      <c r="O1097" s="1">
        <v>0</v>
      </c>
      <c r="P1097" s="1">
        <v>0</v>
      </c>
      <c r="Q1097" s="1">
        <f t="shared" ref="Q1097:Q1108" si="575">P1097*1400</f>
        <v>0</v>
      </c>
      <c r="R1097" s="1">
        <v>0</v>
      </c>
      <c r="S1097" s="1">
        <f t="shared" ref="S1097:S1108" si="576">R1097*3751</f>
        <v>0</v>
      </c>
      <c r="T1097" s="1">
        <v>0</v>
      </c>
      <c r="U1097" s="1">
        <v>200000</v>
      </c>
      <c r="V1097" s="1">
        <v>0</v>
      </c>
      <c r="W1097" s="1">
        <v>0</v>
      </c>
      <c r="X1097" s="1">
        <v>0</v>
      </c>
      <c r="Y1097" s="1">
        <v>0</v>
      </c>
      <c r="Z1097" s="1">
        <v>0</v>
      </c>
      <c r="AA1097" s="1">
        <v>0</v>
      </c>
      <c r="AB1097" s="1">
        <v>0</v>
      </c>
      <c r="AC1097" s="1">
        <v>0</v>
      </c>
      <c r="AD1097" s="1">
        <v>0</v>
      </c>
    </row>
    <row r="1098" spans="1:30" s="20" customFormat="1" ht="36" customHeight="1" x14ac:dyDescent="0.25">
      <c r="A1098" s="2">
        <f t="shared" ref="A1098:A1163" si="577">ROW()-ROW($A$11)-25</f>
        <v>1062</v>
      </c>
      <c r="B1098" s="6">
        <f t="shared" si="571"/>
        <v>1062</v>
      </c>
      <c r="C1098" s="19" t="s">
        <v>2392</v>
      </c>
      <c r="D1098" s="4">
        <f t="shared" si="572"/>
        <v>7200000</v>
      </c>
      <c r="E1098" s="1">
        <f t="shared" si="573"/>
        <v>0</v>
      </c>
      <c r="F1098" s="1">
        <v>0</v>
      </c>
      <c r="G1098" s="1">
        <v>0</v>
      </c>
      <c r="H1098" s="1">
        <v>0</v>
      </c>
      <c r="I1098" s="1">
        <v>0</v>
      </c>
      <c r="J1098" s="1">
        <v>0</v>
      </c>
      <c r="K1098" s="1">
        <v>0</v>
      </c>
      <c r="L1098" s="2">
        <v>2</v>
      </c>
      <c r="M1098" s="1">
        <f t="shared" si="574"/>
        <v>7000000</v>
      </c>
      <c r="N1098" s="1">
        <v>0</v>
      </c>
      <c r="O1098" s="1">
        <v>0</v>
      </c>
      <c r="P1098" s="1">
        <v>0</v>
      </c>
      <c r="Q1098" s="1">
        <f t="shared" si="575"/>
        <v>0</v>
      </c>
      <c r="R1098" s="1">
        <v>0</v>
      </c>
      <c r="S1098" s="1">
        <f t="shared" si="576"/>
        <v>0</v>
      </c>
      <c r="T1098" s="1">
        <v>0</v>
      </c>
      <c r="U1098" s="1">
        <v>200000</v>
      </c>
      <c r="V1098" s="1">
        <v>0</v>
      </c>
      <c r="W1098" s="1">
        <v>0</v>
      </c>
      <c r="X1098" s="1">
        <v>0</v>
      </c>
      <c r="Y1098" s="1">
        <v>0</v>
      </c>
      <c r="Z1098" s="1">
        <v>0</v>
      </c>
      <c r="AA1098" s="1">
        <v>0</v>
      </c>
      <c r="AB1098" s="1">
        <v>0</v>
      </c>
      <c r="AC1098" s="1">
        <v>0</v>
      </c>
      <c r="AD1098" s="1">
        <v>0</v>
      </c>
    </row>
    <row r="1099" spans="1:30" s="20" customFormat="1" ht="36" customHeight="1" x14ac:dyDescent="0.25">
      <c r="A1099" s="2">
        <f t="shared" si="577"/>
        <v>1063</v>
      </c>
      <c r="B1099" s="6">
        <f t="shared" si="571"/>
        <v>1063</v>
      </c>
      <c r="C1099" s="19" t="s">
        <v>2407</v>
      </c>
      <c r="D1099" s="4">
        <f t="shared" si="572"/>
        <v>10700000</v>
      </c>
      <c r="E1099" s="1">
        <f t="shared" si="573"/>
        <v>0</v>
      </c>
      <c r="F1099" s="1">
        <v>0</v>
      </c>
      <c r="G1099" s="1">
        <v>0</v>
      </c>
      <c r="H1099" s="1">
        <v>0</v>
      </c>
      <c r="I1099" s="1">
        <v>0</v>
      </c>
      <c r="J1099" s="1">
        <v>0</v>
      </c>
      <c r="K1099" s="1">
        <v>0</v>
      </c>
      <c r="L1099" s="2">
        <v>3</v>
      </c>
      <c r="M1099" s="1">
        <f t="shared" si="574"/>
        <v>10500000</v>
      </c>
      <c r="N1099" s="1">
        <v>0</v>
      </c>
      <c r="O1099" s="1">
        <v>0</v>
      </c>
      <c r="P1099" s="1">
        <v>0</v>
      </c>
      <c r="Q1099" s="1">
        <f t="shared" si="575"/>
        <v>0</v>
      </c>
      <c r="R1099" s="1">
        <v>0</v>
      </c>
      <c r="S1099" s="1">
        <f t="shared" si="576"/>
        <v>0</v>
      </c>
      <c r="T1099" s="1">
        <v>0</v>
      </c>
      <c r="U1099" s="1">
        <v>200000</v>
      </c>
      <c r="V1099" s="1">
        <v>0</v>
      </c>
      <c r="W1099" s="1">
        <v>0</v>
      </c>
      <c r="X1099" s="1">
        <v>0</v>
      </c>
      <c r="Y1099" s="1">
        <v>0</v>
      </c>
      <c r="Z1099" s="1">
        <v>0</v>
      </c>
      <c r="AA1099" s="1">
        <v>0</v>
      </c>
      <c r="AB1099" s="1">
        <v>0</v>
      </c>
      <c r="AC1099" s="1">
        <v>0</v>
      </c>
      <c r="AD1099" s="1">
        <v>0</v>
      </c>
    </row>
    <row r="1100" spans="1:30" s="20" customFormat="1" ht="36" customHeight="1" x14ac:dyDescent="0.25">
      <c r="A1100" s="2">
        <f t="shared" si="577"/>
        <v>1064</v>
      </c>
      <c r="B1100" s="6">
        <f t="shared" si="571"/>
        <v>1064</v>
      </c>
      <c r="C1100" s="19" t="s">
        <v>2408</v>
      </c>
      <c r="D1100" s="4">
        <f t="shared" si="572"/>
        <v>10700000</v>
      </c>
      <c r="E1100" s="1">
        <f t="shared" si="573"/>
        <v>0</v>
      </c>
      <c r="F1100" s="1">
        <v>0</v>
      </c>
      <c r="G1100" s="1">
        <v>0</v>
      </c>
      <c r="H1100" s="1">
        <v>0</v>
      </c>
      <c r="I1100" s="1">
        <v>0</v>
      </c>
      <c r="J1100" s="1">
        <v>0</v>
      </c>
      <c r="K1100" s="1">
        <v>0</v>
      </c>
      <c r="L1100" s="2">
        <v>3</v>
      </c>
      <c r="M1100" s="1">
        <f t="shared" si="574"/>
        <v>10500000</v>
      </c>
      <c r="N1100" s="1">
        <v>0</v>
      </c>
      <c r="O1100" s="1">
        <v>0</v>
      </c>
      <c r="P1100" s="1">
        <v>0</v>
      </c>
      <c r="Q1100" s="1">
        <f t="shared" si="575"/>
        <v>0</v>
      </c>
      <c r="R1100" s="1">
        <v>0</v>
      </c>
      <c r="S1100" s="1">
        <f t="shared" si="576"/>
        <v>0</v>
      </c>
      <c r="T1100" s="1">
        <v>0</v>
      </c>
      <c r="U1100" s="1">
        <v>200000</v>
      </c>
      <c r="V1100" s="1">
        <v>0</v>
      </c>
      <c r="W1100" s="1">
        <v>0</v>
      </c>
      <c r="X1100" s="1">
        <v>0</v>
      </c>
      <c r="Y1100" s="1">
        <v>0</v>
      </c>
      <c r="Z1100" s="1">
        <v>0</v>
      </c>
      <c r="AA1100" s="1">
        <v>0</v>
      </c>
      <c r="AB1100" s="1">
        <v>0</v>
      </c>
      <c r="AC1100" s="1">
        <v>0</v>
      </c>
      <c r="AD1100" s="1">
        <v>0</v>
      </c>
    </row>
    <row r="1101" spans="1:30" s="20" customFormat="1" ht="36" customHeight="1" x14ac:dyDescent="0.25">
      <c r="A1101" s="2">
        <f t="shared" si="577"/>
        <v>1065</v>
      </c>
      <c r="B1101" s="6">
        <f t="shared" si="571"/>
        <v>1065</v>
      </c>
      <c r="C1101" s="19" t="s">
        <v>2409</v>
      </c>
      <c r="D1101" s="4">
        <f t="shared" si="572"/>
        <v>7200000</v>
      </c>
      <c r="E1101" s="1">
        <f t="shared" si="573"/>
        <v>0</v>
      </c>
      <c r="F1101" s="1">
        <v>0</v>
      </c>
      <c r="G1101" s="1">
        <v>0</v>
      </c>
      <c r="H1101" s="1">
        <v>0</v>
      </c>
      <c r="I1101" s="1">
        <v>0</v>
      </c>
      <c r="J1101" s="1">
        <v>0</v>
      </c>
      <c r="K1101" s="1">
        <v>0</v>
      </c>
      <c r="L1101" s="2">
        <v>2</v>
      </c>
      <c r="M1101" s="1">
        <f t="shared" si="574"/>
        <v>7000000</v>
      </c>
      <c r="N1101" s="1">
        <v>0</v>
      </c>
      <c r="O1101" s="1">
        <v>0</v>
      </c>
      <c r="P1101" s="1">
        <v>0</v>
      </c>
      <c r="Q1101" s="1">
        <f t="shared" si="575"/>
        <v>0</v>
      </c>
      <c r="R1101" s="1">
        <v>0</v>
      </c>
      <c r="S1101" s="1">
        <f t="shared" si="576"/>
        <v>0</v>
      </c>
      <c r="T1101" s="1">
        <v>0</v>
      </c>
      <c r="U1101" s="1">
        <v>200000</v>
      </c>
      <c r="V1101" s="1">
        <v>0</v>
      </c>
      <c r="W1101" s="1">
        <v>0</v>
      </c>
      <c r="X1101" s="1">
        <v>0</v>
      </c>
      <c r="Y1101" s="1">
        <v>0</v>
      </c>
      <c r="Z1101" s="1">
        <v>0</v>
      </c>
      <c r="AA1101" s="1">
        <v>0</v>
      </c>
      <c r="AB1101" s="1">
        <v>0</v>
      </c>
      <c r="AC1101" s="1">
        <v>0</v>
      </c>
      <c r="AD1101" s="1">
        <v>0</v>
      </c>
    </row>
    <row r="1102" spans="1:30" s="20" customFormat="1" ht="36" customHeight="1" x14ac:dyDescent="0.25">
      <c r="A1102" s="2">
        <f t="shared" si="577"/>
        <v>1066</v>
      </c>
      <c r="B1102" s="6">
        <f t="shared" si="571"/>
        <v>1066</v>
      </c>
      <c r="C1102" s="19" t="s">
        <v>2410</v>
      </c>
      <c r="D1102" s="4">
        <f t="shared" si="572"/>
        <v>10700000</v>
      </c>
      <c r="E1102" s="1">
        <f t="shared" si="573"/>
        <v>0</v>
      </c>
      <c r="F1102" s="1">
        <v>0</v>
      </c>
      <c r="G1102" s="1">
        <v>0</v>
      </c>
      <c r="H1102" s="1">
        <v>0</v>
      </c>
      <c r="I1102" s="1">
        <v>0</v>
      </c>
      <c r="J1102" s="1">
        <v>0</v>
      </c>
      <c r="K1102" s="1">
        <v>0</v>
      </c>
      <c r="L1102" s="2">
        <v>3</v>
      </c>
      <c r="M1102" s="1">
        <f t="shared" si="574"/>
        <v>10500000</v>
      </c>
      <c r="N1102" s="1">
        <v>0</v>
      </c>
      <c r="O1102" s="1">
        <v>0</v>
      </c>
      <c r="P1102" s="1">
        <v>0</v>
      </c>
      <c r="Q1102" s="1">
        <f t="shared" si="575"/>
        <v>0</v>
      </c>
      <c r="R1102" s="1">
        <v>0</v>
      </c>
      <c r="S1102" s="1">
        <f t="shared" si="576"/>
        <v>0</v>
      </c>
      <c r="T1102" s="1">
        <v>0</v>
      </c>
      <c r="U1102" s="1">
        <v>200000</v>
      </c>
      <c r="V1102" s="1">
        <v>0</v>
      </c>
      <c r="W1102" s="1">
        <v>0</v>
      </c>
      <c r="X1102" s="1">
        <v>0</v>
      </c>
      <c r="Y1102" s="1">
        <v>0</v>
      </c>
      <c r="Z1102" s="1">
        <v>0</v>
      </c>
      <c r="AA1102" s="1">
        <v>0</v>
      </c>
      <c r="AB1102" s="1">
        <v>0</v>
      </c>
      <c r="AC1102" s="1">
        <v>0</v>
      </c>
      <c r="AD1102" s="1">
        <v>0</v>
      </c>
    </row>
    <row r="1103" spans="1:30" s="20" customFormat="1" ht="36" customHeight="1" x14ac:dyDescent="0.25">
      <c r="A1103" s="2">
        <f t="shared" si="577"/>
        <v>1067</v>
      </c>
      <c r="B1103" s="6">
        <f t="shared" si="571"/>
        <v>1067</v>
      </c>
      <c r="C1103" s="19" t="s">
        <v>2385</v>
      </c>
      <c r="D1103" s="4">
        <f t="shared" si="572"/>
        <v>14200000</v>
      </c>
      <c r="E1103" s="1">
        <f t="shared" si="573"/>
        <v>0</v>
      </c>
      <c r="F1103" s="1">
        <v>0</v>
      </c>
      <c r="G1103" s="1">
        <v>0</v>
      </c>
      <c r="H1103" s="1">
        <v>0</v>
      </c>
      <c r="I1103" s="1">
        <v>0</v>
      </c>
      <c r="J1103" s="1">
        <v>0</v>
      </c>
      <c r="K1103" s="1">
        <v>0</v>
      </c>
      <c r="L1103" s="2">
        <v>4</v>
      </c>
      <c r="M1103" s="1">
        <f t="shared" si="574"/>
        <v>14000000</v>
      </c>
      <c r="N1103" s="1">
        <v>0</v>
      </c>
      <c r="O1103" s="1">
        <v>0</v>
      </c>
      <c r="P1103" s="1">
        <v>0</v>
      </c>
      <c r="Q1103" s="1">
        <f t="shared" si="575"/>
        <v>0</v>
      </c>
      <c r="R1103" s="1">
        <v>0</v>
      </c>
      <c r="S1103" s="1">
        <f t="shared" si="576"/>
        <v>0</v>
      </c>
      <c r="T1103" s="1">
        <v>0</v>
      </c>
      <c r="U1103" s="1">
        <v>200000</v>
      </c>
      <c r="V1103" s="1">
        <v>0</v>
      </c>
      <c r="W1103" s="1">
        <v>0</v>
      </c>
      <c r="X1103" s="1">
        <v>0</v>
      </c>
      <c r="Y1103" s="1">
        <v>0</v>
      </c>
      <c r="Z1103" s="1">
        <v>0</v>
      </c>
      <c r="AA1103" s="1">
        <v>0</v>
      </c>
      <c r="AB1103" s="1">
        <v>0</v>
      </c>
      <c r="AC1103" s="1">
        <v>0</v>
      </c>
      <c r="AD1103" s="1">
        <v>0</v>
      </c>
    </row>
    <row r="1104" spans="1:30" s="20" customFormat="1" ht="36" customHeight="1" x14ac:dyDescent="0.25">
      <c r="A1104" s="2">
        <f t="shared" si="577"/>
        <v>1068</v>
      </c>
      <c r="B1104" s="6">
        <f t="shared" si="571"/>
        <v>1068</v>
      </c>
      <c r="C1104" s="19" t="s">
        <v>2386</v>
      </c>
      <c r="D1104" s="4">
        <f t="shared" si="572"/>
        <v>10700000</v>
      </c>
      <c r="E1104" s="1">
        <f t="shared" si="573"/>
        <v>0</v>
      </c>
      <c r="F1104" s="1">
        <v>0</v>
      </c>
      <c r="G1104" s="1">
        <v>0</v>
      </c>
      <c r="H1104" s="1">
        <v>0</v>
      </c>
      <c r="I1104" s="1">
        <v>0</v>
      </c>
      <c r="J1104" s="1">
        <v>0</v>
      </c>
      <c r="K1104" s="1">
        <v>0</v>
      </c>
      <c r="L1104" s="2">
        <v>3</v>
      </c>
      <c r="M1104" s="1">
        <f t="shared" si="574"/>
        <v>10500000</v>
      </c>
      <c r="N1104" s="1">
        <v>0</v>
      </c>
      <c r="O1104" s="1">
        <v>0</v>
      </c>
      <c r="P1104" s="1">
        <v>0</v>
      </c>
      <c r="Q1104" s="1">
        <f t="shared" si="575"/>
        <v>0</v>
      </c>
      <c r="R1104" s="1">
        <v>0</v>
      </c>
      <c r="S1104" s="1">
        <f t="shared" si="576"/>
        <v>0</v>
      </c>
      <c r="T1104" s="1">
        <v>0</v>
      </c>
      <c r="U1104" s="1">
        <v>200000</v>
      </c>
      <c r="V1104" s="1">
        <v>0</v>
      </c>
      <c r="W1104" s="1">
        <v>0</v>
      </c>
      <c r="X1104" s="1">
        <v>0</v>
      </c>
      <c r="Y1104" s="1">
        <v>0</v>
      </c>
      <c r="Z1104" s="1">
        <v>0</v>
      </c>
      <c r="AA1104" s="1">
        <v>0</v>
      </c>
      <c r="AB1104" s="1">
        <v>0</v>
      </c>
      <c r="AC1104" s="1">
        <v>0</v>
      </c>
      <c r="AD1104" s="1">
        <v>0</v>
      </c>
    </row>
    <row r="1105" spans="1:30" s="20" customFormat="1" ht="36" customHeight="1" x14ac:dyDescent="0.25">
      <c r="A1105" s="2">
        <f t="shared" si="577"/>
        <v>1069</v>
      </c>
      <c r="B1105" s="6">
        <f t="shared" si="571"/>
        <v>1069</v>
      </c>
      <c r="C1105" s="19" t="s">
        <v>2387</v>
      </c>
      <c r="D1105" s="4">
        <f t="shared" si="572"/>
        <v>7200000</v>
      </c>
      <c r="E1105" s="1">
        <f t="shared" si="573"/>
        <v>0</v>
      </c>
      <c r="F1105" s="1">
        <v>0</v>
      </c>
      <c r="G1105" s="1">
        <v>0</v>
      </c>
      <c r="H1105" s="1">
        <v>0</v>
      </c>
      <c r="I1105" s="1">
        <v>0</v>
      </c>
      <c r="J1105" s="1">
        <v>0</v>
      </c>
      <c r="K1105" s="1">
        <v>0</v>
      </c>
      <c r="L1105" s="2">
        <v>2</v>
      </c>
      <c r="M1105" s="1">
        <f t="shared" si="574"/>
        <v>7000000</v>
      </c>
      <c r="N1105" s="1">
        <v>0</v>
      </c>
      <c r="O1105" s="1">
        <v>0</v>
      </c>
      <c r="P1105" s="1">
        <v>0</v>
      </c>
      <c r="Q1105" s="1">
        <f t="shared" si="575"/>
        <v>0</v>
      </c>
      <c r="R1105" s="1">
        <v>0</v>
      </c>
      <c r="S1105" s="1">
        <f t="shared" si="576"/>
        <v>0</v>
      </c>
      <c r="T1105" s="1">
        <v>0</v>
      </c>
      <c r="U1105" s="1">
        <v>200000</v>
      </c>
      <c r="V1105" s="1">
        <v>0</v>
      </c>
      <c r="W1105" s="1">
        <v>0</v>
      </c>
      <c r="X1105" s="1">
        <v>0</v>
      </c>
      <c r="Y1105" s="1">
        <v>0</v>
      </c>
      <c r="Z1105" s="1">
        <v>0</v>
      </c>
      <c r="AA1105" s="1">
        <v>0</v>
      </c>
      <c r="AB1105" s="1">
        <v>0</v>
      </c>
      <c r="AC1105" s="1">
        <v>0</v>
      </c>
      <c r="AD1105" s="1">
        <v>0</v>
      </c>
    </row>
    <row r="1106" spans="1:30" s="20" customFormat="1" ht="36" customHeight="1" x14ac:dyDescent="0.25">
      <c r="A1106" s="2">
        <f t="shared" si="577"/>
        <v>1070</v>
      </c>
      <c r="B1106" s="6">
        <f t="shared" si="571"/>
        <v>1070</v>
      </c>
      <c r="C1106" s="19" t="s">
        <v>2388</v>
      </c>
      <c r="D1106" s="4">
        <f t="shared" si="572"/>
        <v>7200000</v>
      </c>
      <c r="E1106" s="1">
        <f t="shared" si="573"/>
        <v>0</v>
      </c>
      <c r="F1106" s="1">
        <v>0</v>
      </c>
      <c r="G1106" s="1">
        <v>0</v>
      </c>
      <c r="H1106" s="1">
        <v>0</v>
      </c>
      <c r="I1106" s="1">
        <v>0</v>
      </c>
      <c r="J1106" s="1">
        <v>0</v>
      </c>
      <c r="K1106" s="1">
        <v>0</v>
      </c>
      <c r="L1106" s="2">
        <v>2</v>
      </c>
      <c r="M1106" s="1">
        <f t="shared" si="574"/>
        <v>7000000</v>
      </c>
      <c r="N1106" s="1">
        <v>0</v>
      </c>
      <c r="O1106" s="1">
        <v>0</v>
      </c>
      <c r="P1106" s="1">
        <v>0</v>
      </c>
      <c r="Q1106" s="1">
        <f t="shared" si="575"/>
        <v>0</v>
      </c>
      <c r="R1106" s="1">
        <v>0</v>
      </c>
      <c r="S1106" s="1">
        <f t="shared" si="576"/>
        <v>0</v>
      </c>
      <c r="T1106" s="1">
        <v>0</v>
      </c>
      <c r="U1106" s="1">
        <v>200000</v>
      </c>
      <c r="V1106" s="1">
        <v>0</v>
      </c>
      <c r="W1106" s="1">
        <v>0</v>
      </c>
      <c r="X1106" s="1">
        <v>0</v>
      </c>
      <c r="Y1106" s="1">
        <v>0</v>
      </c>
      <c r="Z1106" s="1">
        <v>0</v>
      </c>
      <c r="AA1106" s="1">
        <v>0</v>
      </c>
      <c r="AB1106" s="1">
        <v>0</v>
      </c>
      <c r="AC1106" s="1">
        <v>0</v>
      </c>
      <c r="AD1106" s="1">
        <v>0</v>
      </c>
    </row>
    <row r="1107" spans="1:30" s="20" customFormat="1" ht="36" customHeight="1" x14ac:dyDescent="0.25">
      <c r="A1107" s="2">
        <f t="shared" si="577"/>
        <v>1071</v>
      </c>
      <c r="B1107" s="6">
        <f t="shared" si="571"/>
        <v>1071</v>
      </c>
      <c r="C1107" s="19" t="s">
        <v>2389</v>
      </c>
      <c r="D1107" s="4">
        <f t="shared" si="572"/>
        <v>17700000</v>
      </c>
      <c r="E1107" s="1">
        <f t="shared" si="573"/>
        <v>0</v>
      </c>
      <c r="F1107" s="1">
        <v>0</v>
      </c>
      <c r="G1107" s="1">
        <v>0</v>
      </c>
      <c r="H1107" s="1">
        <v>0</v>
      </c>
      <c r="I1107" s="1">
        <v>0</v>
      </c>
      <c r="J1107" s="1">
        <v>0</v>
      </c>
      <c r="K1107" s="1">
        <v>0</v>
      </c>
      <c r="L1107" s="2">
        <v>5</v>
      </c>
      <c r="M1107" s="1">
        <f t="shared" si="574"/>
        <v>17500000</v>
      </c>
      <c r="N1107" s="1">
        <v>0</v>
      </c>
      <c r="O1107" s="1">
        <v>0</v>
      </c>
      <c r="P1107" s="1">
        <v>0</v>
      </c>
      <c r="Q1107" s="1">
        <f t="shared" si="575"/>
        <v>0</v>
      </c>
      <c r="R1107" s="1">
        <v>0</v>
      </c>
      <c r="S1107" s="1">
        <f t="shared" si="576"/>
        <v>0</v>
      </c>
      <c r="T1107" s="1">
        <v>0</v>
      </c>
      <c r="U1107" s="1">
        <v>200000</v>
      </c>
      <c r="V1107" s="1">
        <v>0</v>
      </c>
      <c r="W1107" s="1">
        <v>0</v>
      </c>
      <c r="X1107" s="1">
        <v>0</v>
      </c>
      <c r="Y1107" s="1">
        <v>0</v>
      </c>
      <c r="Z1107" s="1">
        <v>0</v>
      </c>
      <c r="AA1107" s="1">
        <v>0</v>
      </c>
      <c r="AB1107" s="1">
        <v>0</v>
      </c>
      <c r="AC1107" s="1">
        <v>0</v>
      </c>
      <c r="AD1107" s="1">
        <v>0</v>
      </c>
    </row>
    <row r="1108" spans="1:30" s="20" customFormat="1" ht="36" customHeight="1" x14ac:dyDescent="0.25">
      <c r="A1108" s="2">
        <f t="shared" si="577"/>
        <v>1072</v>
      </c>
      <c r="B1108" s="6">
        <f t="shared" si="571"/>
        <v>1072</v>
      </c>
      <c r="C1108" s="19" t="s">
        <v>2390</v>
      </c>
      <c r="D1108" s="4">
        <f t="shared" si="572"/>
        <v>7200000</v>
      </c>
      <c r="E1108" s="1">
        <f t="shared" si="573"/>
        <v>0</v>
      </c>
      <c r="F1108" s="1">
        <v>0</v>
      </c>
      <c r="G1108" s="1">
        <v>0</v>
      </c>
      <c r="H1108" s="1">
        <v>0</v>
      </c>
      <c r="I1108" s="1">
        <v>0</v>
      </c>
      <c r="J1108" s="1">
        <v>0</v>
      </c>
      <c r="K1108" s="1">
        <v>0</v>
      </c>
      <c r="L1108" s="2">
        <v>2</v>
      </c>
      <c r="M1108" s="1">
        <f t="shared" si="574"/>
        <v>7000000</v>
      </c>
      <c r="N1108" s="1">
        <v>0</v>
      </c>
      <c r="O1108" s="1">
        <v>0</v>
      </c>
      <c r="P1108" s="1">
        <v>0</v>
      </c>
      <c r="Q1108" s="1">
        <f t="shared" si="575"/>
        <v>0</v>
      </c>
      <c r="R1108" s="1">
        <v>0</v>
      </c>
      <c r="S1108" s="1">
        <f t="shared" si="576"/>
        <v>0</v>
      </c>
      <c r="T1108" s="1">
        <v>0</v>
      </c>
      <c r="U1108" s="1">
        <v>200000</v>
      </c>
      <c r="V1108" s="1">
        <v>0</v>
      </c>
      <c r="W1108" s="1">
        <v>0</v>
      </c>
      <c r="X1108" s="1">
        <v>0</v>
      </c>
      <c r="Y1108" s="1">
        <v>0</v>
      </c>
      <c r="Z1108" s="1">
        <v>0</v>
      </c>
      <c r="AA1108" s="1">
        <v>0</v>
      </c>
      <c r="AB1108" s="1">
        <v>0</v>
      </c>
      <c r="AC1108" s="1">
        <v>0</v>
      </c>
      <c r="AD1108" s="1">
        <v>0</v>
      </c>
    </row>
    <row r="1109" spans="1:30" s="20" customFormat="1" ht="36" customHeight="1" x14ac:dyDescent="0.25">
      <c r="A1109" s="2">
        <f t="shared" si="577"/>
        <v>1073</v>
      </c>
      <c r="B1109" s="6">
        <f t="shared" ref="B1109:B1145" si="578">A1109</f>
        <v>1073</v>
      </c>
      <c r="C1109" s="19" t="s">
        <v>1954</v>
      </c>
      <c r="D1109" s="4">
        <f t="shared" si="572"/>
        <v>10700000</v>
      </c>
      <c r="E1109" s="1">
        <f t="shared" ref="E1109:E1139" si="579">SUM(F1109:K1109)</f>
        <v>0</v>
      </c>
      <c r="F1109" s="1">
        <v>0</v>
      </c>
      <c r="G1109" s="1">
        <v>0</v>
      </c>
      <c r="H1109" s="1">
        <v>0</v>
      </c>
      <c r="I1109" s="1">
        <v>0</v>
      </c>
      <c r="J1109" s="1">
        <v>0</v>
      </c>
      <c r="K1109" s="1">
        <v>0</v>
      </c>
      <c r="L1109" s="2">
        <v>3</v>
      </c>
      <c r="M1109" s="1">
        <f t="shared" ref="M1109:M1139" si="580">L1109*3500000</f>
        <v>10500000</v>
      </c>
      <c r="N1109" s="1">
        <v>0</v>
      </c>
      <c r="O1109" s="1">
        <v>0</v>
      </c>
      <c r="P1109" s="1">
        <v>0</v>
      </c>
      <c r="Q1109" s="1">
        <f t="shared" ref="Q1109:Q1139" si="581">P1109*1400</f>
        <v>0</v>
      </c>
      <c r="R1109" s="1">
        <v>0</v>
      </c>
      <c r="S1109" s="1">
        <f t="shared" ref="S1109:S1139" si="582">R1109*3751</f>
        <v>0</v>
      </c>
      <c r="T1109" s="1">
        <v>0</v>
      </c>
      <c r="U1109" s="1">
        <v>200000</v>
      </c>
      <c r="V1109" s="1">
        <v>0</v>
      </c>
      <c r="W1109" s="1">
        <v>0</v>
      </c>
      <c r="X1109" s="1">
        <v>0</v>
      </c>
      <c r="Y1109" s="1">
        <v>0</v>
      </c>
      <c r="Z1109" s="1">
        <v>0</v>
      </c>
      <c r="AA1109" s="1">
        <v>0</v>
      </c>
      <c r="AB1109" s="1">
        <v>0</v>
      </c>
      <c r="AC1109" s="1">
        <v>0</v>
      </c>
      <c r="AD1109" s="1">
        <v>0</v>
      </c>
    </row>
    <row r="1110" spans="1:30" s="20" customFormat="1" ht="36" customHeight="1" x14ac:dyDescent="0.25">
      <c r="A1110" s="2">
        <f t="shared" si="577"/>
        <v>1074</v>
      </c>
      <c r="B1110" s="6">
        <f>A1110</f>
        <v>1074</v>
      </c>
      <c r="C1110" s="19" t="s">
        <v>2391</v>
      </c>
      <c r="D1110" s="4">
        <f t="shared" si="572"/>
        <v>7200000</v>
      </c>
      <c r="E1110" s="1">
        <f>SUM(F1110:K1110)</f>
        <v>0</v>
      </c>
      <c r="F1110" s="1">
        <v>0</v>
      </c>
      <c r="G1110" s="1">
        <v>0</v>
      </c>
      <c r="H1110" s="1">
        <v>0</v>
      </c>
      <c r="I1110" s="1">
        <v>0</v>
      </c>
      <c r="J1110" s="1">
        <v>0</v>
      </c>
      <c r="K1110" s="1">
        <v>0</v>
      </c>
      <c r="L1110" s="2">
        <v>2</v>
      </c>
      <c r="M1110" s="1">
        <f>L1110*3500000</f>
        <v>7000000</v>
      </c>
      <c r="N1110" s="1">
        <v>0</v>
      </c>
      <c r="O1110" s="1">
        <v>0</v>
      </c>
      <c r="P1110" s="1">
        <v>0</v>
      </c>
      <c r="Q1110" s="1">
        <f>P1110*1400</f>
        <v>0</v>
      </c>
      <c r="R1110" s="1">
        <v>0</v>
      </c>
      <c r="S1110" s="1">
        <f>R1110*3751</f>
        <v>0</v>
      </c>
      <c r="T1110" s="1">
        <v>0</v>
      </c>
      <c r="U1110" s="1">
        <v>200000</v>
      </c>
      <c r="V1110" s="1">
        <v>0</v>
      </c>
      <c r="W1110" s="1">
        <v>0</v>
      </c>
      <c r="X1110" s="1">
        <v>0</v>
      </c>
      <c r="Y1110" s="1">
        <v>0</v>
      </c>
      <c r="Z1110" s="1">
        <v>0</v>
      </c>
      <c r="AA1110" s="1">
        <v>0</v>
      </c>
      <c r="AB1110" s="1">
        <v>0</v>
      </c>
      <c r="AC1110" s="1">
        <v>0</v>
      </c>
      <c r="AD1110" s="1">
        <v>0</v>
      </c>
    </row>
    <row r="1111" spans="1:30" s="20" customFormat="1" ht="36" customHeight="1" x14ac:dyDescent="0.25">
      <c r="A1111" s="2">
        <f t="shared" si="577"/>
        <v>1075</v>
      </c>
      <c r="B1111" s="6">
        <f>A1111</f>
        <v>1075</v>
      </c>
      <c r="C1111" s="19" t="s">
        <v>2393</v>
      </c>
      <c r="D1111" s="4">
        <f t="shared" si="572"/>
        <v>7200000</v>
      </c>
      <c r="E1111" s="1">
        <f>SUM(F1111:K1111)</f>
        <v>0</v>
      </c>
      <c r="F1111" s="1">
        <v>0</v>
      </c>
      <c r="G1111" s="1">
        <v>0</v>
      </c>
      <c r="H1111" s="1">
        <v>0</v>
      </c>
      <c r="I1111" s="1">
        <v>0</v>
      </c>
      <c r="J1111" s="1">
        <v>0</v>
      </c>
      <c r="K1111" s="1">
        <v>0</v>
      </c>
      <c r="L1111" s="2">
        <v>2</v>
      </c>
      <c r="M1111" s="1">
        <f>L1111*3500000</f>
        <v>7000000</v>
      </c>
      <c r="N1111" s="1">
        <v>0</v>
      </c>
      <c r="O1111" s="1">
        <v>0</v>
      </c>
      <c r="P1111" s="1">
        <v>0</v>
      </c>
      <c r="Q1111" s="1">
        <f>P1111*1400</f>
        <v>0</v>
      </c>
      <c r="R1111" s="1">
        <v>0</v>
      </c>
      <c r="S1111" s="1">
        <f>R1111*3751</f>
        <v>0</v>
      </c>
      <c r="T1111" s="1">
        <v>0</v>
      </c>
      <c r="U1111" s="1">
        <v>200000</v>
      </c>
      <c r="V1111" s="1">
        <v>0</v>
      </c>
      <c r="W1111" s="1">
        <v>0</v>
      </c>
      <c r="X1111" s="1">
        <v>0</v>
      </c>
      <c r="Y1111" s="1">
        <v>0</v>
      </c>
      <c r="Z1111" s="1">
        <v>0</v>
      </c>
      <c r="AA1111" s="1">
        <v>0</v>
      </c>
      <c r="AB1111" s="1">
        <v>0</v>
      </c>
      <c r="AC1111" s="1">
        <v>0</v>
      </c>
      <c r="AD1111" s="1">
        <v>0</v>
      </c>
    </row>
    <row r="1112" spans="1:30" s="20" customFormat="1" ht="36" customHeight="1" x14ac:dyDescent="0.25">
      <c r="A1112" s="2">
        <f t="shared" si="577"/>
        <v>1076</v>
      </c>
      <c r="B1112" s="6">
        <f>A1112</f>
        <v>1076</v>
      </c>
      <c r="C1112" s="19" t="s">
        <v>2394</v>
      </c>
      <c r="D1112" s="4">
        <f t="shared" si="572"/>
        <v>21200000</v>
      </c>
      <c r="E1112" s="1">
        <f>SUM(F1112:K1112)</f>
        <v>0</v>
      </c>
      <c r="F1112" s="1">
        <v>0</v>
      </c>
      <c r="G1112" s="1">
        <v>0</v>
      </c>
      <c r="H1112" s="1">
        <v>0</v>
      </c>
      <c r="I1112" s="1">
        <v>0</v>
      </c>
      <c r="J1112" s="1">
        <v>0</v>
      </c>
      <c r="K1112" s="1">
        <v>0</v>
      </c>
      <c r="L1112" s="2">
        <v>6</v>
      </c>
      <c r="M1112" s="1">
        <f>L1112*3500000</f>
        <v>21000000</v>
      </c>
      <c r="N1112" s="1">
        <v>0</v>
      </c>
      <c r="O1112" s="1">
        <v>0</v>
      </c>
      <c r="P1112" s="1">
        <v>0</v>
      </c>
      <c r="Q1112" s="1">
        <f>P1112*1400</f>
        <v>0</v>
      </c>
      <c r="R1112" s="1">
        <v>0</v>
      </c>
      <c r="S1112" s="1">
        <f>R1112*3751</f>
        <v>0</v>
      </c>
      <c r="T1112" s="1">
        <v>0</v>
      </c>
      <c r="U1112" s="1">
        <v>200000</v>
      </c>
      <c r="V1112" s="1">
        <v>0</v>
      </c>
      <c r="W1112" s="1">
        <v>0</v>
      </c>
      <c r="X1112" s="1">
        <v>0</v>
      </c>
      <c r="Y1112" s="1">
        <v>0</v>
      </c>
      <c r="Z1112" s="1">
        <v>0</v>
      </c>
      <c r="AA1112" s="1">
        <v>0</v>
      </c>
      <c r="AB1112" s="1">
        <v>0</v>
      </c>
      <c r="AC1112" s="1">
        <v>0</v>
      </c>
      <c r="AD1112" s="1">
        <v>0</v>
      </c>
    </row>
    <row r="1113" spans="1:30" s="20" customFormat="1" ht="36" customHeight="1" x14ac:dyDescent="0.25">
      <c r="A1113" s="2">
        <f t="shared" si="577"/>
        <v>1077</v>
      </c>
      <c r="B1113" s="6">
        <f t="shared" si="578"/>
        <v>1077</v>
      </c>
      <c r="C1113" s="19" t="s">
        <v>1955</v>
      </c>
      <c r="D1113" s="4">
        <f t="shared" si="572"/>
        <v>10700000</v>
      </c>
      <c r="E1113" s="1">
        <f t="shared" si="579"/>
        <v>0</v>
      </c>
      <c r="F1113" s="1">
        <v>0</v>
      </c>
      <c r="G1113" s="1">
        <v>0</v>
      </c>
      <c r="H1113" s="1">
        <v>0</v>
      </c>
      <c r="I1113" s="1">
        <v>0</v>
      </c>
      <c r="J1113" s="1">
        <v>0</v>
      </c>
      <c r="K1113" s="1">
        <v>0</v>
      </c>
      <c r="L1113" s="2">
        <v>3</v>
      </c>
      <c r="M1113" s="1">
        <f t="shared" si="580"/>
        <v>10500000</v>
      </c>
      <c r="N1113" s="1">
        <v>0</v>
      </c>
      <c r="O1113" s="1">
        <v>0</v>
      </c>
      <c r="P1113" s="1">
        <v>0</v>
      </c>
      <c r="Q1113" s="1">
        <f t="shared" si="581"/>
        <v>0</v>
      </c>
      <c r="R1113" s="1">
        <v>0</v>
      </c>
      <c r="S1113" s="1">
        <f t="shared" si="582"/>
        <v>0</v>
      </c>
      <c r="T1113" s="1">
        <v>0</v>
      </c>
      <c r="U1113" s="1">
        <v>200000</v>
      </c>
      <c r="V1113" s="1">
        <v>0</v>
      </c>
      <c r="W1113" s="1">
        <v>0</v>
      </c>
      <c r="X1113" s="1">
        <v>0</v>
      </c>
      <c r="Y1113" s="1">
        <v>0</v>
      </c>
      <c r="Z1113" s="1">
        <v>0</v>
      </c>
      <c r="AA1113" s="1">
        <v>0</v>
      </c>
      <c r="AB1113" s="1">
        <v>0</v>
      </c>
      <c r="AC1113" s="1">
        <v>0</v>
      </c>
      <c r="AD1113" s="1">
        <v>0</v>
      </c>
    </row>
    <row r="1114" spans="1:30" s="20" customFormat="1" ht="36" customHeight="1" x14ac:dyDescent="0.25">
      <c r="A1114" s="2">
        <f t="shared" si="577"/>
        <v>1078</v>
      </c>
      <c r="B1114" s="6">
        <f>A1114</f>
        <v>1078</v>
      </c>
      <c r="C1114" s="19" t="s">
        <v>2395</v>
      </c>
      <c r="D1114" s="4">
        <f t="shared" si="572"/>
        <v>10700000</v>
      </c>
      <c r="E1114" s="1">
        <f>SUM(F1114:K1114)</f>
        <v>0</v>
      </c>
      <c r="F1114" s="1">
        <v>0</v>
      </c>
      <c r="G1114" s="1">
        <v>0</v>
      </c>
      <c r="H1114" s="1">
        <v>0</v>
      </c>
      <c r="I1114" s="1">
        <v>0</v>
      </c>
      <c r="J1114" s="1">
        <v>0</v>
      </c>
      <c r="K1114" s="1">
        <v>0</v>
      </c>
      <c r="L1114" s="2">
        <v>3</v>
      </c>
      <c r="M1114" s="1">
        <f>L1114*3500000</f>
        <v>10500000</v>
      </c>
      <c r="N1114" s="1">
        <v>0</v>
      </c>
      <c r="O1114" s="1">
        <v>0</v>
      </c>
      <c r="P1114" s="1">
        <v>0</v>
      </c>
      <c r="Q1114" s="1">
        <f>P1114*1400</f>
        <v>0</v>
      </c>
      <c r="R1114" s="1">
        <v>0</v>
      </c>
      <c r="S1114" s="1">
        <f>R1114*3751</f>
        <v>0</v>
      </c>
      <c r="T1114" s="1">
        <v>0</v>
      </c>
      <c r="U1114" s="1">
        <v>200000</v>
      </c>
      <c r="V1114" s="1">
        <v>0</v>
      </c>
      <c r="W1114" s="1">
        <v>0</v>
      </c>
      <c r="X1114" s="1">
        <v>0</v>
      </c>
      <c r="Y1114" s="1">
        <v>0</v>
      </c>
      <c r="Z1114" s="1">
        <v>0</v>
      </c>
      <c r="AA1114" s="1">
        <v>0</v>
      </c>
      <c r="AB1114" s="1">
        <v>0</v>
      </c>
      <c r="AC1114" s="1">
        <v>0</v>
      </c>
      <c r="AD1114" s="1">
        <v>0</v>
      </c>
    </row>
    <row r="1115" spans="1:30" s="20" customFormat="1" ht="36" customHeight="1" x14ac:dyDescent="0.25">
      <c r="A1115" s="2">
        <f t="shared" si="577"/>
        <v>1079</v>
      </c>
      <c r="B1115" s="6">
        <f>A1115</f>
        <v>1079</v>
      </c>
      <c r="C1115" s="19" t="s">
        <v>2396</v>
      </c>
      <c r="D1115" s="4">
        <f t="shared" si="572"/>
        <v>10700000</v>
      </c>
      <c r="E1115" s="1">
        <f>SUM(F1115:K1115)</f>
        <v>0</v>
      </c>
      <c r="F1115" s="1">
        <v>0</v>
      </c>
      <c r="G1115" s="1">
        <v>0</v>
      </c>
      <c r="H1115" s="1">
        <v>0</v>
      </c>
      <c r="I1115" s="1">
        <v>0</v>
      </c>
      <c r="J1115" s="1">
        <v>0</v>
      </c>
      <c r="K1115" s="1">
        <v>0</v>
      </c>
      <c r="L1115" s="2">
        <v>3</v>
      </c>
      <c r="M1115" s="1">
        <f>L1115*3500000</f>
        <v>10500000</v>
      </c>
      <c r="N1115" s="1">
        <v>0</v>
      </c>
      <c r="O1115" s="1">
        <v>0</v>
      </c>
      <c r="P1115" s="1">
        <v>0</v>
      </c>
      <c r="Q1115" s="1">
        <f>P1115*1400</f>
        <v>0</v>
      </c>
      <c r="R1115" s="1">
        <v>0</v>
      </c>
      <c r="S1115" s="1">
        <f>R1115*3751</f>
        <v>0</v>
      </c>
      <c r="T1115" s="1">
        <v>0</v>
      </c>
      <c r="U1115" s="1">
        <v>200000</v>
      </c>
      <c r="V1115" s="1">
        <v>0</v>
      </c>
      <c r="W1115" s="1">
        <v>0</v>
      </c>
      <c r="X1115" s="1">
        <v>0</v>
      </c>
      <c r="Y1115" s="1">
        <v>0</v>
      </c>
      <c r="Z1115" s="1">
        <v>0</v>
      </c>
      <c r="AA1115" s="1">
        <v>0</v>
      </c>
      <c r="AB1115" s="1">
        <v>0</v>
      </c>
      <c r="AC1115" s="1">
        <v>0</v>
      </c>
      <c r="AD1115" s="1">
        <v>0</v>
      </c>
    </row>
    <row r="1116" spans="1:30" s="20" customFormat="1" ht="36" customHeight="1" x14ac:dyDescent="0.25">
      <c r="A1116" s="2">
        <f t="shared" si="577"/>
        <v>1080</v>
      </c>
      <c r="B1116" s="6">
        <f t="shared" ref="B1116" si="583">A1116</f>
        <v>1080</v>
      </c>
      <c r="C1116" s="19" t="s">
        <v>2207</v>
      </c>
      <c r="D1116" s="4">
        <f t="shared" si="572"/>
        <v>37801042.500000007</v>
      </c>
      <c r="E1116" s="1">
        <f t="shared" ref="E1116" si="584">SUM(F1116:K1116)</f>
        <v>37751042.500000007</v>
      </c>
      <c r="F1116" s="1">
        <f>804*9618.1</f>
        <v>7732952.4000000004</v>
      </c>
      <c r="G1116" s="1">
        <f>1693*9618.1</f>
        <v>16283443.300000001</v>
      </c>
      <c r="H1116" s="1">
        <f>390*9618.1</f>
        <v>3751059</v>
      </c>
      <c r="I1116" s="1">
        <f>571*9618.1</f>
        <v>5491935.1000000006</v>
      </c>
      <c r="J1116" s="1">
        <f>467*9618.1</f>
        <v>4491652.7</v>
      </c>
      <c r="K1116" s="1">
        <v>0</v>
      </c>
      <c r="L1116" s="2">
        <v>0</v>
      </c>
      <c r="M1116" s="1">
        <f t="shared" ref="M1116" si="585">L1116*3500000</f>
        <v>0</v>
      </c>
      <c r="N1116" s="1">
        <v>0</v>
      </c>
      <c r="O1116" s="1">
        <v>0</v>
      </c>
      <c r="P1116" s="1">
        <v>0</v>
      </c>
      <c r="Q1116" s="1">
        <f t="shared" ref="Q1116" si="586">P1116*1400</f>
        <v>0</v>
      </c>
      <c r="R1116" s="1">
        <v>0</v>
      </c>
      <c r="S1116" s="1">
        <f t="shared" ref="S1116" si="587">R1116*3751</f>
        <v>0</v>
      </c>
      <c r="T1116" s="1">
        <v>0</v>
      </c>
      <c r="U1116" s="1">
        <v>50000</v>
      </c>
      <c r="V1116" s="1">
        <v>0</v>
      </c>
      <c r="W1116" s="1">
        <v>0</v>
      </c>
      <c r="X1116" s="1">
        <v>0</v>
      </c>
      <c r="Y1116" s="1">
        <v>0</v>
      </c>
      <c r="Z1116" s="1">
        <v>0</v>
      </c>
      <c r="AA1116" s="1">
        <v>0</v>
      </c>
      <c r="AB1116" s="1">
        <v>0</v>
      </c>
      <c r="AC1116" s="1">
        <v>0</v>
      </c>
      <c r="AD1116" s="1">
        <v>0</v>
      </c>
    </row>
    <row r="1117" spans="1:30" s="20" customFormat="1" ht="36" customHeight="1" x14ac:dyDescent="0.25">
      <c r="A1117" s="2">
        <f t="shared" si="577"/>
        <v>1081</v>
      </c>
      <c r="B1117" s="6">
        <f t="shared" si="578"/>
        <v>1081</v>
      </c>
      <c r="C1117" s="19" t="s">
        <v>1956</v>
      </c>
      <c r="D1117" s="4">
        <f t="shared" si="572"/>
        <v>7200000</v>
      </c>
      <c r="E1117" s="1">
        <f t="shared" si="579"/>
        <v>0</v>
      </c>
      <c r="F1117" s="1">
        <v>0</v>
      </c>
      <c r="G1117" s="1">
        <v>0</v>
      </c>
      <c r="H1117" s="1">
        <v>0</v>
      </c>
      <c r="I1117" s="1">
        <v>0</v>
      </c>
      <c r="J1117" s="1">
        <v>0</v>
      </c>
      <c r="K1117" s="1">
        <v>0</v>
      </c>
      <c r="L1117" s="2">
        <v>2</v>
      </c>
      <c r="M1117" s="1">
        <f t="shared" si="580"/>
        <v>7000000</v>
      </c>
      <c r="N1117" s="1">
        <v>0</v>
      </c>
      <c r="O1117" s="1">
        <v>0</v>
      </c>
      <c r="P1117" s="1">
        <v>0</v>
      </c>
      <c r="Q1117" s="1">
        <f t="shared" si="581"/>
        <v>0</v>
      </c>
      <c r="R1117" s="1">
        <v>0</v>
      </c>
      <c r="S1117" s="1">
        <f t="shared" si="582"/>
        <v>0</v>
      </c>
      <c r="T1117" s="1">
        <v>0</v>
      </c>
      <c r="U1117" s="1">
        <v>200000</v>
      </c>
      <c r="V1117" s="1">
        <v>0</v>
      </c>
      <c r="W1117" s="1">
        <v>0</v>
      </c>
      <c r="X1117" s="1">
        <v>0</v>
      </c>
      <c r="Y1117" s="1">
        <v>0</v>
      </c>
      <c r="Z1117" s="1">
        <v>0</v>
      </c>
      <c r="AA1117" s="1">
        <v>0</v>
      </c>
      <c r="AB1117" s="1">
        <v>0</v>
      </c>
      <c r="AC1117" s="1">
        <v>0</v>
      </c>
      <c r="AD1117" s="1">
        <v>0</v>
      </c>
    </row>
    <row r="1118" spans="1:30" s="20" customFormat="1" ht="36" customHeight="1" x14ac:dyDescent="0.25">
      <c r="A1118" s="2">
        <f t="shared" si="577"/>
        <v>1082</v>
      </c>
      <c r="B1118" s="6">
        <f t="shared" ref="B1118:B1123" si="588">A1118</f>
        <v>1082</v>
      </c>
      <c r="C1118" s="19" t="s">
        <v>2397</v>
      </c>
      <c r="D1118" s="4">
        <f t="shared" si="572"/>
        <v>7200000</v>
      </c>
      <c r="E1118" s="1">
        <f t="shared" ref="E1118:E1123" si="589">SUM(F1118:K1118)</f>
        <v>0</v>
      </c>
      <c r="F1118" s="1">
        <v>0</v>
      </c>
      <c r="G1118" s="1">
        <v>0</v>
      </c>
      <c r="H1118" s="1">
        <v>0</v>
      </c>
      <c r="I1118" s="1">
        <v>0</v>
      </c>
      <c r="J1118" s="1">
        <v>0</v>
      </c>
      <c r="K1118" s="1">
        <v>0</v>
      </c>
      <c r="L1118" s="2">
        <v>2</v>
      </c>
      <c r="M1118" s="1">
        <f t="shared" ref="M1118:M1123" si="590">L1118*3500000</f>
        <v>7000000</v>
      </c>
      <c r="N1118" s="1">
        <v>0</v>
      </c>
      <c r="O1118" s="1">
        <v>0</v>
      </c>
      <c r="P1118" s="1">
        <v>0</v>
      </c>
      <c r="Q1118" s="1">
        <f t="shared" ref="Q1118:Q1123" si="591">P1118*1400</f>
        <v>0</v>
      </c>
      <c r="R1118" s="1">
        <v>0</v>
      </c>
      <c r="S1118" s="1">
        <f t="shared" ref="S1118:S1123" si="592">R1118*3751</f>
        <v>0</v>
      </c>
      <c r="T1118" s="1">
        <v>0</v>
      </c>
      <c r="U1118" s="1">
        <v>200000</v>
      </c>
      <c r="V1118" s="1">
        <v>0</v>
      </c>
      <c r="W1118" s="1">
        <v>0</v>
      </c>
      <c r="X1118" s="1">
        <v>0</v>
      </c>
      <c r="Y1118" s="1">
        <v>0</v>
      </c>
      <c r="Z1118" s="1">
        <v>0</v>
      </c>
      <c r="AA1118" s="1">
        <v>0</v>
      </c>
      <c r="AB1118" s="1">
        <v>0</v>
      </c>
      <c r="AC1118" s="1">
        <v>0</v>
      </c>
      <c r="AD1118" s="1">
        <v>0</v>
      </c>
    </row>
    <row r="1119" spans="1:30" s="20" customFormat="1" ht="36" customHeight="1" x14ac:dyDescent="0.25">
      <c r="A1119" s="2">
        <f t="shared" si="577"/>
        <v>1083</v>
      </c>
      <c r="B1119" s="6">
        <f t="shared" si="588"/>
        <v>1083</v>
      </c>
      <c r="C1119" s="19" t="s">
        <v>2398</v>
      </c>
      <c r="D1119" s="4">
        <f t="shared" si="572"/>
        <v>7200000</v>
      </c>
      <c r="E1119" s="1">
        <f t="shared" si="589"/>
        <v>0</v>
      </c>
      <c r="F1119" s="1">
        <v>0</v>
      </c>
      <c r="G1119" s="1">
        <v>0</v>
      </c>
      <c r="H1119" s="1">
        <v>0</v>
      </c>
      <c r="I1119" s="1">
        <v>0</v>
      </c>
      <c r="J1119" s="1">
        <v>0</v>
      </c>
      <c r="K1119" s="1">
        <v>0</v>
      </c>
      <c r="L1119" s="2">
        <v>2</v>
      </c>
      <c r="M1119" s="1">
        <f t="shared" si="590"/>
        <v>7000000</v>
      </c>
      <c r="N1119" s="1">
        <v>0</v>
      </c>
      <c r="O1119" s="1">
        <v>0</v>
      </c>
      <c r="P1119" s="1">
        <v>0</v>
      </c>
      <c r="Q1119" s="1">
        <f t="shared" si="591"/>
        <v>0</v>
      </c>
      <c r="R1119" s="1">
        <v>0</v>
      </c>
      <c r="S1119" s="1">
        <f t="shared" si="592"/>
        <v>0</v>
      </c>
      <c r="T1119" s="1">
        <v>0</v>
      </c>
      <c r="U1119" s="1">
        <v>200000</v>
      </c>
      <c r="V1119" s="1">
        <v>0</v>
      </c>
      <c r="W1119" s="1">
        <v>0</v>
      </c>
      <c r="X1119" s="1">
        <v>0</v>
      </c>
      <c r="Y1119" s="1">
        <v>0</v>
      </c>
      <c r="Z1119" s="1">
        <v>0</v>
      </c>
      <c r="AA1119" s="1">
        <v>0</v>
      </c>
      <c r="AB1119" s="1">
        <v>0</v>
      </c>
      <c r="AC1119" s="1">
        <v>0</v>
      </c>
      <c r="AD1119" s="1">
        <v>0</v>
      </c>
    </row>
    <row r="1120" spans="1:30" s="20" customFormat="1" ht="36" customHeight="1" x14ac:dyDescent="0.25">
      <c r="A1120" s="2">
        <f t="shared" si="577"/>
        <v>1084</v>
      </c>
      <c r="B1120" s="6">
        <f t="shared" si="588"/>
        <v>1084</v>
      </c>
      <c r="C1120" s="19" t="s">
        <v>2399</v>
      </c>
      <c r="D1120" s="4">
        <f t="shared" si="572"/>
        <v>7200000</v>
      </c>
      <c r="E1120" s="1">
        <f t="shared" si="589"/>
        <v>0</v>
      </c>
      <c r="F1120" s="1">
        <v>0</v>
      </c>
      <c r="G1120" s="1">
        <v>0</v>
      </c>
      <c r="H1120" s="1">
        <v>0</v>
      </c>
      <c r="I1120" s="1">
        <v>0</v>
      </c>
      <c r="J1120" s="1">
        <v>0</v>
      </c>
      <c r="K1120" s="1">
        <v>0</v>
      </c>
      <c r="L1120" s="2">
        <v>2</v>
      </c>
      <c r="M1120" s="1">
        <f t="shared" si="590"/>
        <v>7000000</v>
      </c>
      <c r="N1120" s="1">
        <v>0</v>
      </c>
      <c r="O1120" s="1">
        <v>0</v>
      </c>
      <c r="P1120" s="1">
        <v>0</v>
      </c>
      <c r="Q1120" s="1">
        <f t="shared" si="591"/>
        <v>0</v>
      </c>
      <c r="R1120" s="1">
        <v>0</v>
      </c>
      <c r="S1120" s="1">
        <f t="shared" si="592"/>
        <v>0</v>
      </c>
      <c r="T1120" s="1">
        <v>0</v>
      </c>
      <c r="U1120" s="1">
        <v>200000</v>
      </c>
      <c r="V1120" s="1">
        <v>0</v>
      </c>
      <c r="W1120" s="1">
        <v>0</v>
      </c>
      <c r="X1120" s="1">
        <v>0</v>
      </c>
      <c r="Y1120" s="1">
        <v>0</v>
      </c>
      <c r="Z1120" s="1">
        <v>0</v>
      </c>
      <c r="AA1120" s="1">
        <v>0</v>
      </c>
      <c r="AB1120" s="1">
        <v>0</v>
      </c>
      <c r="AC1120" s="1">
        <v>0</v>
      </c>
      <c r="AD1120" s="1">
        <v>0</v>
      </c>
    </row>
    <row r="1121" spans="1:30" s="20" customFormat="1" ht="36" customHeight="1" x14ac:dyDescent="0.25">
      <c r="A1121" s="2">
        <f t="shared" si="577"/>
        <v>1085</v>
      </c>
      <c r="B1121" s="6">
        <f t="shared" si="588"/>
        <v>1085</v>
      </c>
      <c r="C1121" s="19" t="s">
        <v>2400</v>
      </c>
      <c r="D1121" s="4">
        <f t="shared" si="572"/>
        <v>7200000</v>
      </c>
      <c r="E1121" s="1">
        <f t="shared" si="589"/>
        <v>0</v>
      </c>
      <c r="F1121" s="1">
        <v>0</v>
      </c>
      <c r="G1121" s="1">
        <v>0</v>
      </c>
      <c r="H1121" s="1">
        <v>0</v>
      </c>
      <c r="I1121" s="1">
        <v>0</v>
      </c>
      <c r="J1121" s="1">
        <v>0</v>
      </c>
      <c r="K1121" s="1">
        <v>0</v>
      </c>
      <c r="L1121" s="2">
        <v>2</v>
      </c>
      <c r="M1121" s="1">
        <f t="shared" si="590"/>
        <v>7000000</v>
      </c>
      <c r="N1121" s="1">
        <v>0</v>
      </c>
      <c r="O1121" s="1">
        <v>0</v>
      </c>
      <c r="P1121" s="1">
        <v>0</v>
      </c>
      <c r="Q1121" s="1">
        <f t="shared" si="591"/>
        <v>0</v>
      </c>
      <c r="R1121" s="1">
        <v>0</v>
      </c>
      <c r="S1121" s="1">
        <f t="shared" si="592"/>
        <v>0</v>
      </c>
      <c r="T1121" s="1">
        <v>0</v>
      </c>
      <c r="U1121" s="1">
        <v>200000</v>
      </c>
      <c r="V1121" s="1">
        <v>0</v>
      </c>
      <c r="W1121" s="1">
        <v>0</v>
      </c>
      <c r="X1121" s="1">
        <v>0</v>
      </c>
      <c r="Y1121" s="1">
        <v>0</v>
      </c>
      <c r="Z1121" s="1">
        <v>0</v>
      </c>
      <c r="AA1121" s="1">
        <v>0</v>
      </c>
      <c r="AB1121" s="1">
        <v>0</v>
      </c>
      <c r="AC1121" s="1">
        <v>0</v>
      </c>
      <c r="AD1121" s="1">
        <v>0</v>
      </c>
    </row>
    <row r="1122" spans="1:30" s="20" customFormat="1" ht="36" customHeight="1" x14ac:dyDescent="0.25">
      <c r="A1122" s="2">
        <f t="shared" si="577"/>
        <v>1086</v>
      </c>
      <c r="B1122" s="6">
        <f t="shared" si="588"/>
        <v>1086</v>
      </c>
      <c r="C1122" s="19" t="s">
        <v>2401</v>
      </c>
      <c r="D1122" s="4">
        <f t="shared" si="572"/>
        <v>10700000</v>
      </c>
      <c r="E1122" s="1">
        <f t="shared" si="589"/>
        <v>0</v>
      </c>
      <c r="F1122" s="1">
        <v>0</v>
      </c>
      <c r="G1122" s="1">
        <v>0</v>
      </c>
      <c r="H1122" s="1">
        <v>0</v>
      </c>
      <c r="I1122" s="1">
        <v>0</v>
      </c>
      <c r="J1122" s="1">
        <v>0</v>
      </c>
      <c r="K1122" s="1">
        <v>0</v>
      </c>
      <c r="L1122" s="2">
        <v>3</v>
      </c>
      <c r="M1122" s="1">
        <f t="shared" si="590"/>
        <v>10500000</v>
      </c>
      <c r="N1122" s="1">
        <v>0</v>
      </c>
      <c r="O1122" s="1">
        <v>0</v>
      </c>
      <c r="P1122" s="1">
        <v>0</v>
      </c>
      <c r="Q1122" s="1">
        <f t="shared" si="591"/>
        <v>0</v>
      </c>
      <c r="R1122" s="1">
        <v>0</v>
      </c>
      <c r="S1122" s="1">
        <f t="shared" si="592"/>
        <v>0</v>
      </c>
      <c r="T1122" s="1">
        <v>0</v>
      </c>
      <c r="U1122" s="1">
        <v>200000</v>
      </c>
      <c r="V1122" s="1">
        <v>0</v>
      </c>
      <c r="W1122" s="1">
        <v>0</v>
      </c>
      <c r="X1122" s="1">
        <v>0</v>
      </c>
      <c r="Y1122" s="1">
        <v>0</v>
      </c>
      <c r="Z1122" s="1">
        <v>0</v>
      </c>
      <c r="AA1122" s="1">
        <v>0</v>
      </c>
      <c r="AB1122" s="1">
        <v>0</v>
      </c>
      <c r="AC1122" s="1">
        <v>0</v>
      </c>
      <c r="AD1122" s="1">
        <v>0</v>
      </c>
    </row>
    <row r="1123" spans="1:30" s="20" customFormat="1" ht="36" customHeight="1" x14ac:dyDescent="0.25">
      <c r="A1123" s="2">
        <f t="shared" si="577"/>
        <v>1087</v>
      </c>
      <c r="B1123" s="6">
        <f t="shared" si="588"/>
        <v>1087</v>
      </c>
      <c r="C1123" s="19" t="s">
        <v>2402</v>
      </c>
      <c r="D1123" s="4">
        <f t="shared" si="572"/>
        <v>7200000</v>
      </c>
      <c r="E1123" s="1">
        <f t="shared" si="589"/>
        <v>0</v>
      </c>
      <c r="F1123" s="1">
        <v>0</v>
      </c>
      <c r="G1123" s="1">
        <v>0</v>
      </c>
      <c r="H1123" s="1">
        <v>0</v>
      </c>
      <c r="I1123" s="1">
        <v>0</v>
      </c>
      <c r="J1123" s="1">
        <v>0</v>
      </c>
      <c r="K1123" s="1">
        <v>0</v>
      </c>
      <c r="L1123" s="2">
        <v>2</v>
      </c>
      <c r="M1123" s="1">
        <f t="shared" si="590"/>
        <v>7000000</v>
      </c>
      <c r="N1123" s="1">
        <v>0</v>
      </c>
      <c r="O1123" s="1">
        <v>0</v>
      </c>
      <c r="P1123" s="1">
        <v>0</v>
      </c>
      <c r="Q1123" s="1">
        <f t="shared" si="591"/>
        <v>0</v>
      </c>
      <c r="R1123" s="1">
        <v>0</v>
      </c>
      <c r="S1123" s="1">
        <f t="shared" si="592"/>
        <v>0</v>
      </c>
      <c r="T1123" s="1">
        <v>0</v>
      </c>
      <c r="U1123" s="1">
        <v>200000</v>
      </c>
      <c r="V1123" s="1">
        <v>0</v>
      </c>
      <c r="W1123" s="1">
        <v>0</v>
      </c>
      <c r="X1123" s="1">
        <v>0</v>
      </c>
      <c r="Y1123" s="1">
        <v>0</v>
      </c>
      <c r="Z1123" s="1">
        <v>0</v>
      </c>
      <c r="AA1123" s="1">
        <v>0</v>
      </c>
      <c r="AB1123" s="1">
        <v>0</v>
      </c>
      <c r="AC1123" s="1">
        <v>0</v>
      </c>
      <c r="AD1123" s="1">
        <v>0</v>
      </c>
    </row>
    <row r="1124" spans="1:30" s="20" customFormat="1" ht="36" customHeight="1" x14ac:dyDescent="0.25">
      <c r="A1124" s="2">
        <f t="shared" si="577"/>
        <v>1088</v>
      </c>
      <c r="B1124" s="2">
        <f t="shared" ref="B1124" si="593">A1124</f>
        <v>1088</v>
      </c>
      <c r="C1124" s="19" t="s">
        <v>2208</v>
      </c>
      <c r="D1124" s="39">
        <f t="shared" si="572"/>
        <v>490000</v>
      </c>
      <c r="E1124" s="1">
        <f t="shared" ref="E1124" si="594">SUM(F1124:K1124)</f>
        <v>0</v>
      </c>
      <c r="F1124" s="1">
        <v>0</v>
      </c>
      <c r="G1124" s="1">
        <v>0</v>
      </c>
      <c r="H1124" s="1">
        <v>0</v>
      </c>
      <c r="I1124" s="1">
        <v>0</v>
      </c>
      <c r="J1124" s="1">
        <v>0</v>
      </c>
      <c r="K1124" s="1">
        <v>0</v>
      </c>
      <c r="L1124" s="2">
        <v>0</v>
      </c>
      <c r="M1124" s="1">
        <f t="shared" ref="M1124" si="595">L1124*3500000</f>
        <v>0</v>
      </c>
      <c r="N1124" s="1">
        <v>0</v>
      </c>
      <c r="O1124" s="1">
        <v>0</v>
      </c>
      <c r="P1124" s="1">
        <v>350</v>
      </c>
      <c r="Q1124" s="1">
        <f t="shared" ref="Q1124" si="596">P1124*1400</f>
        <v>490000</v>
      </c>
      <c r="R1124" s="1">
        <v>0</v>
      </c>
      <c r="S1124" s="1">
        <f t="shared" ref="S1124" si="597">R1124*3751</f>
        <v>0</v>
      </c>
      <c r="T1124" s="1">
        <v>0</v>
      </c>
      <c r="U1124" s="1">
        <v>0</v>
      </c>
      <c r="V1124" s="1">
        <v>0</v>
      </c>
      <c r="W1124" s="1">
        <v>0</v>
      </c>
      <c r="X1124" s="1">
        <v>0</v>
      </c>
      <c r="Y1124" s="1">
        <v>0</v>
      </c>
      <c r="Z1124" s="1">
        <v>0</v>
      </c>
      <c r="AA1124" s="1">
        <v>0</v>
      </c>
      <c r="AB1124" s="1">
        <v>0</v>
      </c>
      <c r="AC1124" s="1">
        <v>0</v>
      </c>
      <c r="AD1124" s="1">
        <v>0</v>
      </c>
    </row>
    <row r="1125" spans="1:30" s="20" customFormat="1" ht="36" customHeight="1" x14ac:dyDescent="0.25">
      <c r="A1125" s="2">
        <f t="shared" si="577"/>
        <v>1089</v>
      </c>
      <c r="B1125" s="2">
        <f>A1125</f>
        <v>1089</v>
      </c>
      <c r="C1125" s="19" t="s">
        <v>2403</v>
      </c>
      <c r="D1125" s="39">
        <f t="shared" si="572"/>
        <v>14200000</v>
      </c>
      <c r="E1125" s="1">
        <f>SUM(F1125:K1125)</f>
        <v>0</v>
      </c>
      <c r="F1125" s="1">
        <v>0</v>
      </c>
      <c r="G1125" s="1">
        <v>0</v>
      </c>
      <c r="H1125" s="1">
        <v>0</v>
      </c>
      <c r="I1125" s="1">
        <v>0</v>
      </c>
      <c r="J1125" s="1">
        <v>0</v>
      </c>
      <c r="K1125" s="1">
        <v>0</v>
      </c>
      <c r="L1125" s="2">
        <v>4</v>
      </c>
      <c r="M1125" s="1">
        <f>L1125*3500000</f>
        <v>14000000</v>
      </c>
      <c r="N1125" s="1">
        <v>0</v>
      </c>
      <c r="O1125" s="1">
        <v>0</v>
      </c>
      <c r="P1125" s="1">
        <v>0</v>
      </c>
      <c r="Q1125" s="1">
        <f>P1125*1400</f>
        <v>0</v>
      </c>
      <c r="R1125" s="1">
        <v>0</v>
      </c>
      <c r="S1125" s="1">
        <f>R1125*3751</f>
        <v>0</v>
      </c>
      <c r="T1125" s="1">
        <v>0</v>
      </c>
      <c r="U1125" s="1">
        <v>200000</v>
      </c>
      <c r="V1125" s="1">
        <v>0</v>
      </c>
      <c r="W1125" s="1">
        <v>0</v>
      </c>
      <c r="X1125" s="1">
        <v>0</v>
      </c>
      <c r="Y1125" s="1">
        <v>0</v>
      </c>
      <c r="Z1125" s="1">
        <v>0</v>
      </c>
      <c r="AA1125" s="1">
        <v>0</v>
      </c>
      <c r="AB1125" s="1">
        <v>0</v>
      </c>
      <c r="AC1125" s="1">
        <v>0</v>
      </c>
      <c r="AD1125" s="1">
        <v>0</v>
      </c>
    </row>
    <row r="1126" spans="1:30" s="20" customFormat="1" ht="36" customHeight="1" x14ac:dyDescent="0.25">
      <c r="A1126" s="2">
        <f t="shared" si="577"/>
        <v>1090</v>
      </c>
      <c r="B1126" s="6">
        <f t="shared" si="578"/>
        <v>1090</v>
      </c>
      <c r="C1126" s="19" t="s">
        <v>1957</v>
      </c>
      <c r="D1126" s="4">
        <f t="shared" si="572"/>
        <v>17700000</v>
      </c>
      <c r="E1126" s="1">
        <f t="shared" si="579"/>
        <v>0</v>
      </c>
      <c r="F1126" s="1">
        <v>0</v>
      </c>
      <c r="G1126" s="1">
        <v>0</v>
      </c>
      <c r="H1126" s="1">
        <v>0</v>
      </c>
      <c r="I1126" s="1">
        <v>0</v>
      </c>
      <c r="J1126" s="1">
        <v>0</v>
      </c>
      <c r="K1126" s="1">
        <v>0</v>
      </c>
      <c r="L1126" s="2">
        <v>5</v>
      </c>
      <c r="M1126" s="1">
        <f t="shared" si="580"/>
        <v>17500000</v>
      </c>
      <c r="N1126" s="1">
        <v>0</v>
      </c>
      <c r="O1126" s="1">
        <v>0</v>
      </c>
      <c r="P1126" s="1">
        <v>0</v>
      </c>
      <c r="Q1126" s="1">
        <f t="shared" si="581"/>
        <v>0</v>
      </c>
      <c r="R1126" s="1">
        <v>0</v>
      </c>
      <c r="S1126" s="1">
        <f t="shared" si="582"/>
        <v>0</v>
      </c>
      <c r="T1126" s="1">
        <v>0</v>
      </c>
      <c r="U1126" s="1">
        <v>200000</v>
      </c>
      <c r="V1126" s="1">
        <v>0</v>
      </c>
      <c r="W1126" s="1">
        <v>0</v>
      </c>
      <c r="X1126" s="1">
        <v>0</v>
      </c>
      <c r="Y1126" s="1">
        <v>0</v>
      </c>
      <c r="Z1126" s="1">
        <v>0</v>
      </c>
      <c r="AA1126" s="1">
        <v>0</v>
      </c>
      <c r="AB1126" s="1">
        <v>0</v>
      </c>
      <c r="AC1126" s="1">
        <v>0</v>
      </c>
      <c r="AD1126" s="1">
        <v>0</v>
      </c>
    </row>
    <row r="1127" spans="1:30" s="20" customFormat="1" ht="36" customHeight="1" x14ac:dyDescent="0.25">
      <c r="A1127" s="2">
        <f t="shared" si="577"/>
        <v>1091</v>
      </c>
      <c r="B1127" s="6">
        <f>A1127</f>
        <v>1091</v>
      </c>
      <c r="C1127" s="19" t="s">
        <v>2404</v>
      </c>
      <c r="D1127" s="4">
        <f t="shared" si="572"/>
        <v>10700000</v>
      </c>
      <c r="E1127" s="1">
        <f>SUM(F1127:K1127)</f>
        <v>0</v>
      </c>
      <c r="F1127" s="1">
        <v>0</v>
      </c>
      <c r="G1127" s="1">
        <v>0</v>
      </c>
      <c r="H1127" s="1">
        <v>0</v>
      </c>
      <c r="I1127" s="1">
        <v>0</v>
      </c>
      <c r="J1127" s="1">
        <v>0</v>
      </c>
      <c r="K1127" s="1">
        <v>0</v>
      </c>
      <c r="L1127" s="2">
        <v>3</v>
      </c>
      <c r="M1127" s="1">
        <f>L1127*3500000</f>
        <v>10500000</v>
      </c>
      <c r="N1127" s="1">
        <v>0</v>
      </c>
      <c r="O1127" s="1">
        <v>0</v>
      </c>
      <c r="P1127" s="1">
        <v>0</v>
      </c>
      <c r="Q1127" s="1">
        <f>P1127*1400</f>
        <v>0</v>
      </c>
      <c r="R1127" s="1">
        <v>0</v>
      </c>
      <c r="S1127" s="1">
        <f>R1127*3751</f>
        <v>0</v>
      </c>
      <c r="T1127" s="1">
        <v>0</v>
      </c>
      <c r="U1127" s="1">
        <v>200000</v>
      </c>
      <c r="V1127" s="1">
        <v>0</v>
      </c>
      <c r="W1127" s="1">
        <v>0</v>
      </c>
      <c r="X1127" s="1">
        <v>0</v>
      </c>
      <c r="Y1127" s="1">
        <v>0</v>
      </c>
      <c r="Z1127" s="1">
        <v>0</v>
      </c>
      <c r="AA1127" s="1">
        <v>0</v>
      </c>
      <c r="AB1127" s="1">
        <v>0</v>
      </c>
      <c r="AC1127" s="1">
        <v>0</v>
      </c>
      <c r="AD1127" s="1">
        <v>0</v>
      </c>
    </row>
    <row r="1128" spans="1:30" s="20" customFormat="1" ht="36" customHeight="1" x14ac:dyDescent="0.25">
      <c r="A1128" s="2">
        <f t="shared" si="577"/>
        <v>1092</v>
      </c>
      <c r="B1128" s="6">
        <f>A1128</f>
        <v>1092</v>
      </c>
      <c r="C1128" s="19" t="s">
        <v>2405</v>
      </c>
      <c r="D1128" s="4">
        <f t="shared" si="572"/>
        <v>10700000</v>
      </c>
      <c r="E1128" s="1">
        <f>SUM(F1128:K1128)</f>
        <v>0</v>
      </c>
      <c r="F1128" s="1">
        <v>0</v>
      </c>
      <c r="G1128" s="1">
        <v>0</v>
      </c>
      <c r="H1128" s="1">
        <v>0</v>
      </c>
      <c r="I1128" s="1">
        <v>0</v>
      </c>
      <c r="J1128" s="1">
        <v>0</v>
      </c>
      <c r="K1128" s="1">
        <v>0</v>
      </c>
      <c r="L1128" s="2">
        <v>3</v>
      </c>
      <c r="M1128" s="1">
        <f>L1128*3500000</f>
        <v>10500000</v>
      </c>
      <c r="N1128" s="1">
        <v>0</v>
      </c>
      <c r="O1128" s="1">
        <v>0</v>
      </c>
      <c r="P1128" s="1">
        <v>0</v>
      </c>
      <c r="Q1128" s="1">
        <f>P1128*1400</f>
        <v>0</v>
      </c>
      <c r="R1128" s="1">
        <v>0</v>
      </c>
      <c r="S1128" s="1">
        <f>R1128*3751</f>
        <v>0</v>
      </c>
      <c r="T1128" s="1">
        <v>0</v>
      </c>
      <c r="U1128" s="1">
        <v>200000</v>
      </c>
      <c r="V1128" s="1">
        <v>0</v>
      </c>
      <c r="W1128" s="1">
        <v>0</v>
      </c>
      <c r="X1128" s="1">
        <v>0</v>
      </c>
      <c r="Y1128" s="1">
        <v>0</v>
      </c>
      <c r="Z1128" s="1">
        <v>0</v>
      </c>
      <c r="AA1128" s="1">
        <v>0</v>
      </c>
      <c r="AB1128" s="1">
        <v>0</v>
      </c>
      <c r="AC1128" s="1">
        <v>0</v>
      </c>
      <c r="AD1128" s="1">
        <v>0</v>
      </c>
    </row>
    <row r="1129" spans="1:30" s="20" customFormat="1" ht="36" customHeight="1" x14ac:dyDescent="0.25">
      <c r="A1129" s="2">
        <f t="shared" si="577"/>
        <v>1093</v>
      </c>
      <c r="B1129" s="6">
        <f>A1129</f>
        <v>1093</v>
      </c>
      <c r="C1129" s="19" t="s">
        <v>2406</v>
      </c>
      <c r="D1129" s="4">
        <f t="shared" ref="D1129:D1160" si="598">E1129+M1129+O1129+Q1129+S1129+T1129+U1129+V1129+W1129+X1129+Z1129+AA1129+AB1129+AC1129+AD1129</f>
        <v>14200000</v>
      </c>
      <c r="E1129" s="1">
        <f>SUM(F1129:K1129)</f>
        <v>0</v>
      </c>
      <c r="F1129" s="1">
        <v>0</v>
      </c>
      <c r="G1129" s="1">
        <v>0</v>
      </c>
      <c r="H1129" s="1">
        <v>0</v>
      </c>
      <c r="I1129" s="1">
        <v>0</v>
      </c>
      <c r="J1129" s="1">
        <v>0</v>
      </c>
      <c r="K1129" s="1">
        <v>0</v>
      </c>
      <c r="L1129" s="2">
        <v>4</v>
      </c>
      <c r="M1129" s="1">
        <f>L1129*3500000</f>
        <v>14000000</v>
      </c>
      <c r="N1129" s="1">
        <v>0</v>
      </c>
      <c r="O1129" s="1">
        <v>0</v>
      </c>
      <c r="P1129" s="1">
        <v>0</v>
      </c>
      <c r="Q1129" s="1">
        <f>P1129*1400</f>
        <v>0</v>
      </c>
      <c r="R1129" s="1">
        <v>0</v>
      </c>
      <c r="S1129" s="1">
        <f>R1129*3751</f>
        <v>0</v>
      </c>
      <c r="T1129" s="1">
        <v>0</v>
      </c>
      <c r="U1129" s="1">
        <v>200000</v>
      </c>
      <c r="V1129" s="1">
        <v>0</v>
      </c>
      <c r="W1129" s="1">
        <v>0</v>
      </c>
      <c r="X1129" s="1">
        <v>0</v>
      </c>
      <c r="Y1129" s="1">
        <v>0</v>
      </c>
      <c r="Z1129" s="1">
        <v>0</v>
      </c>
      <c r="AA1129" s="1">
        <v>0</v>
      </c>
      <c r="AB1129" s="1">
        <v>0</v>
      </c>
      <c r="AC1129" s="1">
        <v>0</v>
      </c>
      <c r="AD1129" s="1">
        <v>0</v>
      </c>
    </row>
    <row r="1130" spans="1:30" s="20" customFormat="1" ht="36" customHeight="1" x14ac:dyDescent="0.25">
      <c r="A1130" s="2">
        <f t="shared" si="577"/>
        <v>1094</v>
      </c>
      <c r="B1130" s="6">
        <f t="shared" si="578"/>
        <v>1094</v>
      </c>
      <c r="C1130" s="19" t="s">
        <v>617</v>
      </c>
      <c r="D1130" s="4">
        <f t="shared" si="598"/>
        <v>3247515</v>
      </c>
      <c r="E1130" s="1">
        <f t="shared" si="579"/>
        <v>1485822</v>
      </c>
      <c r="F1130" s="1">
        <f>804*443</f>
        <v>356172</v>
      </c>
      <c r="G1130" s="1">
        <f>1693*443</f>
        <v>749999</v>
      </c>
      <c r="H1130" s="1">
        <f>390*443</f>
        <v>172770</v>
      </c>
      <c r="I1130" s="1">
        <v>0</v>
      </c>
      <c r="J1130" s="1">
        <f>467*443</f>
        <v>206881</v>
      </c>
      <c r="K1130" s="1">
        <v>0</v>
      </c>
      <c r="L1130" s="2">
        <v>0</v>
      </c>
      <c r="M1130" s="1">
        <f t="shared" si="580"/>
        <v>0</v>
      </c>
      <c r="N1130" s="1">
        <v>0</v>
      </c>
      <c r="O1130" s="1">
        <v>0</v>
      </c>
      <c r="P1130" s="1">
        <v>0</v>
      </c>
      <c r="Q1130" s="1">
        <f t="shared" si="581"/>
        <v>0</v>
      </c>
      <c r="R1130" s="1">
        <v>443</v>
      </c>
      <c r="S1130" s="1">
        <f t="shared" si="582"/>
        <v>1661693</v>
      </c>
      <c r="T1130" s="1">
        <v>0</v>
      </c>
      <c r="U1130" s="1">
        <v>50000</v>
      </c>
      <c r="V1130" s="1">
        <v>0</v>
      </c>
      <c r="W1130" s="1">
        <v>50000</v>
      </c>
      <c r="X1130" s="1">
        <v>0</v>
      </c>
      <c r="Y1130" s="1">
        <v>0</v>
      </c>
      <c r="Z1130" s="1">
        <v>0</v>
      </c>
      <c r="AA1130" s="1">
        <v>0</v>
      </c>
      <c r="AB1130" s="1">
        <v>0</v>
      </c>
      <c r="AC1130" s="1">
        <v>0</v>
      </c>
      <c r="AD1130" s="1">
        <v>0</v>
      </c>
    </row>
    <row r="1131" spans="1:30" s="20" customFormat="1" ht="36" customHeight="1" x14ac:dyDescent="0.25">
      <c r="A1131" s="2">
        <f t="shared" si="577"/>
        <v>1095</v>
      </c>
      <c r="B1131" s="6">
        <f t="shared" si="578"/>
        <v>1095</v>
      </c>
      <c r="C1131" s="19" t="s">
        <v>2209</v>
      </c>
      <c r="D1131" s="4">
        <f t="shared" si="598"/>
        <v>12501060</v>
      </c>
      <c r="E1131" s="1">
        <f t="shared" si="579"/>
        <v>0</v>
      </c>
      <c r="F1131" s="1">
        <v>0</v>
      </c>
      <c r="G1131" s="1">
        <v>0</v>
      </c>
      <c r="H1131" s="1">
        <v>0</v>
      </c>
      <c r="I1131" s="1">
        <v>0</v>
      </c>
      <c r="J1131" s="1">
        <v>0</v>
      </c>
      <c r="K1131" s="1">
        <v>0</v>
      </c>
      <c r="L1131" s="2">
        <v>0</v>
      </c>
      <c r="M1131" s="1">
        <f t="shared" si="580"/>
        <v>0</v>
      </c>
      <c r="N1131" s="1">
        <v>1100</v>
      </c>
      <c r="O1131" s="1">
        <f>N1131*7750</f>
        <v>8525000</v>
      </c>
      <c r="P1131" s="1">
        <v>0</v>
      </c>
      <c r="Q1131" s="1">
        <f t="shared" si="581"/>
        <v>0</v>
      </c>
      <c r="R1131" s="1">
        <v>1060</v>
      </c>
      <c r="S1131" s="1">
        <f t="shared" si="582"/>
        <v>3976060</v>
      </c>
      <c r="T1131" s="1">
        <v>0</v>
      </c>
      <c r="U1131" s="1">
        <v>0</v>
      </c>
      <c r="V1131" s="1">
        <v>0</v>
      </c>
      <c r="W1131" s="1">
        <v>0</v>
      </c>
      <c r="X1131" s="1">
        <v>0</v>
      </c>
      <c r="Y1131" s="1">
        <v>0</v>
      </c>
      <c r="Z1131" s="1">
        <v>0</v>
      </c>
      <c r="AA1131" s="1">
        <v>0</v>
      </c>
      <c r="AB1131" s="1">
        <v>0</v>
      </c>
      <c r="AC1131" s="1">
        <v>0</v>
      </c>
      <c r="AD1131" s="1">
        <v>0</v>
      </c>
    </row>
    <row r="1132" spans="1:30" s="20" customFormat="1" ht="36" customHeight="1" x14ac:dyDescent="0.25">
      <c r="A1132" s="2">
        <f t="shared" si="577"/>
        <v>1096</v>
      </c>
      <c r="B1132" s="6">
        <f>A1132</f>
        <v>1096</v>
      </c>
      <c r="C1132" s="19" t="s">
        <v>2412</v>
      </c>
      <c r="D1132" s="4">
        <f t="shared" si="598"/>
        <v>7200000</v>
      </c>
      <c r="E1132" s="1">
        <f>SUM(F1132:K1132)</f>
        <v>0</v>
      </c>
      <c r="F1132" s="1">
        <v>0</v>
      </c>
      <c r="G1132" s="1">
        <v>0</v>
      </c>
      <c r="H1132" s="1">
        <v>0</v>
      </c>
      <c r="I1132" s="1">
        <v>0</v>
      </c>
      <c r="J1132" s="1">
        <v>0</v>
      </c>
      <c r="K1132" s="1">
        <v>0</v>
      </c>
      <c r="L1132" s="2">
        <v>2</v>
      </c>
      <c r="M1132" s="1">
        <f>L1132*3500000</f>
        <v>7000000</v>
      </c>
      <c r="N1132" s="1">
        <v>0</v>
      </c>
      <c r="O1132" s="1">
        <v>0</v>
      </c>
      <c r="P1132" s="1">
        <v>0</v>
      </c>
      <c r="Q1132" s="1">
        <f>P1132*1400</f>
        <v>0</v>
      </c>
      <c r="R1132" s="1">
        <v>0</v>
      </c>
      <c r="S1132" s="1">
        <f>R1132*3751</f>
        <v>0</v>
      </c>
      <c r="T1132" s="1">
        <v>0</v>
      </c>
      <c r="U1132" s="1">
        <v>200000</v>
      </c>
      <c r="V1132" s="1">
        <v>0</v>
      </c>
      <c r="W1132" s="1">
        <v>0</v>
      </c>
      <c r="X1132" s="1">
        <v>0</v>
      </c>
      <c r="Y1132" s="1">
        <v>0</v>
      </c>
      <c r="Z1132" s="1">
        <v>0</v>
      </c>
      <c r="AA1132" s="1">
        <v>0</v>
      </c>
      <c r="AB1132" s="1">
        <v>0</v>
      </c>
      <c r="AC1132" s="1">
        <v>0</v>
      </c>
      <c r="AD1132" s="1">
        <v>0</v>
      </c>
    </row>
    <row r="1133" spans="1:30" s="20" customFormat="1" ht="36" customHeight="1" x14ac:dyDescent="0.25">
      <c r="A1133" s="2">
        <f t="shared" si="577"/>
        <v>1097</v>
      </c>
      <c r="B1133" s="6">
        <f t="shared" si="578"/>
        <v>1097</v>
      </c>
      <c r="C1133" s="19" t="s">
        <v>2222</v>
      </c>
      <c r="D1133" s="4">
        <f t="shared" si="598"/>
        <v>7200000</v>
      </c>
      <c r="E1133" s="1">
        <f t="shared" si="579"/>
        <v>0</v>
      </c>
      <c r="F1133" s="1">
        <v>0</v>
      </c>
      <c r="G1133" s="1">
        <v>0</v>
      </c>
      <c r="H1133" s="1">
        <v>0</v>
      </c>
      <c r="I1133" s="1">
        <v>0</v>
      </c>
      <c r="J1133" s="1">
        <v>0</v>
      </c>
      <c r="K1133" s="1">
        <v>0</v>
      </c>
      <c r="L1133" s="2">
        <v>2</v>
      </c>
      <c r="M1133" s="1">
        <f t="shared" si="580"/>
        <v>7000000</v>
      </c>
      <c r="N1133" s="1">
        <v>0</v>
      </c>
      <c r="O1133" s="1">
        <v>0</v>
      </c>
      <c r="P1133" s="1">
        <v>0</v>
      </c>
      <c r="Q1133" s="1">
        <f t="shared" si="581"/>
        <v>0</v>
      </c>
      <c r="R1133" s="1">
        <v>0</v>
      </c>
      <c r="S1133" s="1">
        <f t="shared" si="582"/>
        <v>0</v>
      </c>
      <c r="T1133" s="1">
        <v>0</v>
      </c>
      <c r="U1133" s="1">
        <v>200000</v>
      </c>
      <c r="V1133" s="1">
        <v>0</v>
      </c>
      <c r="W1133" s="1">
        <v>0</v>
      </c>
      <c r="X1133" s="1">
        <v>0</v>
      </c>
      <c r="Y1133" s="1">
        <v>0</v>
      </c>
      <c r="Z1133" s="1">
        <v>0</v>
      </c>
      <c r="AA1133" s="1">
        <v>0</v>
      </c>
      <c r="AB1133" s="1">
        <v>0</v>
      </c>
      <c r="AC1133" s="1">
        <v>0</v>
      </c>
      <c r="AD1133" s="1">
        <v>0</v>
      </c>
    </row>
    <row r="1134" spans="1:30" s="20" customFormat="1" ht="36" customHeight="1" x14ac:dyDescent="0.25">
      <c r="A1134" s="2">
        <f t="shared" si="577"/>
        <v>1098</v>
      </c>
      <c r="B1134" s="6">
        <f t="shared" ref="B1134" si="599">A1134</f>
        <v>1098</v>
      </c>
      <c r="C1134" s="19" t="s">
        <v>1711</v>
      </c>
      <c r="D1134" s="4">
        <f t="shared" si="598"/>
        <v>7200000</v>
      </c>
      <c r="E1134" s="1">
        <f t="shared" ref="E1134" si="600">SUM(F1134:K1134)</f>
        <v>0</v>
      </c>
      <c r="F1134" s="1">
        <v>0</v>
      </c>
      <c r="G1134" s="1">
        <v>0</v>
      </c>
      <c r="H1134" s="1">
        <v>0</v>
      </c>
      <c r="I1134" s="1">
        <v>0</v>
      </c>
      <c r="J1134" s="1">
        <v>0</v>
      </c>
      <c r="K1134" s="1">
        <v>0</v>
      </c>
      <c r="L1134" s="2">
        <v>2</v>
      </c>
      <c r="M1134" s="1">
        <f t="shared" ref="M1134" si="601">L1134*3500000</f>
        <v>7000000</v>
      </c>
      <c r="N1134" s="1">
        <v>0</v>
      </c>
      <c r="O1134" s="1">
        <v>0</v>
      </c>
      <c r="P1134" s="1">
        <v>0</v>
      </c>
      <c r="Q1134" s="1">
        <f t="shared" ref="Q1134" si="602">P1134*1400</f>
        <v>0</v>
      </c>
      <c r="R1134" s="1">
        <v>0</v>
      </c>
      <c r="S1134" s="1">
        <f t="shared" ref="S1134" si="603">R1134*3751</f>
        <v>0</v>
      </c>
      <c r="T1134" s="1">
        <v>0</v>
      </c>
      <c r="U1134" s="1">
        <v>200000</v>
      </c>
      <c r="V1134" s="1">
        <v>0</v>
      </c>
      <c r="W1134" s="1">
        <v>0</v>
      </c>
      <c r="X1134" s="1">
        <v>0</v>
      </c>
      <c r="Y1134" s="1">
        <v>0</v>
      </c>
      <c r="Z1134" s="1">
        <v>0</v>
      </c>
      <c r="AA1134" s="1">
        <v>0</v>
      </c>
      <c r="AB1134" s="1">
        <v>0</v>
      </c>
      <c r="AC1134" s="1">
        <v>0</v>
      </c>
      <c r="AD1134" s="1">
        <v>0</v>
      </c>
    </row>
    <row r="1135" spans="1:30" s="20" customFormat="1" ht="36" customHeight="1" x14ac:dyDescent="0.25">
      <c r="A1135" s="2">
        <f t="shared" si="577"/>
        <v>1099</v>
      </c>
      <c r="B1135" s="6">
        <f>A1135</f>
        <v>1099</v>
      </c>
      <c r="C1135" s="19" t="s">
        <v>2411</v>
      </c>
      <c r="D1135" s="4">
        <f t="shared" si="598"/>
        <v>7200000</v>
      </c>
      <c r="E1135" s="1">
        <f>SUM(F1135:K1135)</f>
        <v>0</v>
      </c>
      <c r="F1135" s="1">
        <v>0</v>
      </c>
      <c r="G1135" s="1">
        <v>0</v>
      </c>
      <c r="H1135" s="1">
        <v>0</v>
      </c>
      <c r="I1135" s="1">
        <v>0</v>
      </c>
      <c r="J1135" s="1">
        <v>0</v>
      </c>
      <c r="K1135" s="1">
        <v>0</v>
      </c>
      <c r="L1135" s="2">
        <v>2</v>
      </c>
      <c r="M1135" s="1">
        <f>L1135*3500000</f>
        <v>7000000</v>
      </c>
      <c r="N1135" s="1">
        <v>0</v>
      </c>
      <c r="O1135" s="1">
        <v>0</v>
      </c>
      <c r="P1135" s="1">
        <v>0</v>
      </c>
      <c r="Q1135" s="1">
        <f>P1135*1400</f>
        <v>0</v>
      </c>
      <c r="R1135" s="1">
        <v>0</v>
      </c>
      <c r="S1135" s="1">
        <f>R1135*3751</f>
        <v>0</v>
      </c>
      <c r="T1135" s="1">
        <v>0</v>
      </c>
      <c r="U1135" s="1">
        <v>200000</v>
      </c>
      <c r="V1135" s="1">
        <v>0</v>
      </c>
      <c r="W1135" s="1">
        <v>0</v>
      </c>
      <c r="X1135" s="1">
        <v>0</v>
      </c>
      <c r="Y1135" s="1">
        <v>0</v>
      </c>
      <c r="Z1135" s="1">
        <v>0</v>
      </c>
      <c r="AA1135" s="1">
        <v>0</v>
      </c>
      <c r="AB1135" s="1">
        <v>0</v>
      </c>
      <c r="AC1135" s="1">
        <v>0</v>
      </c>
      <c r="AD1135" s="1">
        <v>0</v>
      </c>
    </row>
    <row r="1136" spans="1:30" s="20" customFormat="1" ht="36" customHeight="1" x14ac:dyDescent="0.25">
      <c r="A1136" s="2">
        <f t="shared" si="577"/>
        <v>1100</v>
      </c>
      <c r="B1136" s="6">
        <f t="shared" si="578"/>
        <v>1100</v>
      </c>
      <c r="C1136" s="19" t="s">
        <v>1712</v>
      </c>
      <c r="D1136" s="4">
        <f t="shared" si="598"/>
        <v>10700000</v>
      </c>
      <c r="E1136" s="1">
        <f t="shared" si="579"/>
        <v>0</v>
      </c>
      <c r="F1136" s="1">
        <v>0</v>
      </c>
      <c r="G1136" s="1">
        <v>0</v>
      </c>
      <c r="H1136" s="1">
        <v>0</v>
      </c>
      <c r="I1136" s="1">
        <v>0</v>
      </c>
      <c r="J1136" s="1">
        <v>0</v>
      </c>
      <c r="K1136" s="1">
        <v>0</v>
      </c>
      <c r="L1136" s="2">
        <v>3</v>
      </c>
      <c r="M1136" s="1">
        <f t="shared" si="580"/>
        <v>10500000</v>
      </c>
      <c r="N1136" s="1">
        <v>0</v>
      </c>
      <c r="O1136" s="1">
        <v>0</v>
      </c>
      <c r="P1136" s="1">
        <v>0</v>
      </c>
      <c r="Q1136" s="1">
        <f t="shared" si="581"/>
        <v>0</v>
      </c>
      <c r="R1136" s="1">
        <v>0</v>
      </c>
      <c r="S1136" s="1">
        <f t="shared" si="582"/>
        <v>0</v>
      </c>
      <c r="T1136" s="1">
        <v>0</v>
      </c>
      <c r="U1136" s="1">
        <v>200000</v>
      </c>
      <c r="V1136" s="1">
        <v>0</v>
      </c>
      <c r="W1136" s="1">
        <v>0</v>
      </c>
      <c r="X1136" s="1">
        <v>0</v>
      </c>
      <c r="Y1136" s="1">
        <v>0</v>
      </c>
      <c r="Z1136" s="1">
        <v>0</v>
      </c>
      <c r="AA1136" s="1">
        <v>0</v>
      </c>
      <c r="AB1136" s="1">
        <v>0</v>
      </c>
      <c r="AC1136" s="1">
        <v>0</v>
      </c>
      <c r="AD1136" s="1">
        <v>0</v>
      </c>
    </row>
    <row r="1137" spans="1:30" s="20" customFormat="1" ht="36" customHeight="1" x14ac:dyDescent="0.25">
      <c r="A1137" s="2">
        <f t="shared" si="577"/>
        <v>1101</v>
      </c>
      <c r="B1137" s="6">
        <f>A1137</f>
        <v>1101</v>
      </c>
      <c r="C1137" s="19" t="s">
        <v>2413</v>
      </c>
      <c r="D1137" s="4">
        <f t="shared" si="598"/>
        <v>10700000</v>
      </c>
      <c r="E1137" s="1">
        <f>SUM(F1137:K1137)</f>
        <v>0</v>
      </c>
      <c r="F1137" s="1">
        <v>0</v>
      </c>
      <c r="G1137" s="1">
        <v>0</v>
      </c>
      <c r="H1137" s="1">
        <v>0</v>
      </c>
      <c r="I1137" s="1">
        <v>0</v>
      </c>
      <c r="J1137" s="1">
        <v>0</v>
      </c>
      <c r="K1137" s="1">
        <v>0</v>
      </c>
      <c r="L1137" s="2">
        <v>3</v>
      </c>
      <c r="M1137" s="1">
        <f>L1137*3500000</f>
        <v>10500000</v>
      </c>
      <c r="N1137" s="1">
        <v>0</v>
      </c>
      <c r="O1137" s="1">
        <v>0</v>
      </c>
      <c r="P1137" s="1">
        <v>0</v>
      </c>
      <c r="Q1137" s="1">
        <f>P1137*1400</f>
        <v>0</v>
      </c>
      <c r="R1137" s="1">
        <v>0</v>
      </c>
      <c r="S1137" s="1">
        <f>R1137*3751</f>
        <v>0</v>
      </c>
      <c r="T1137" s="1">
        <v>0</v>
      </c>
      <c r="U1137" s="1">
        <v>200000</v>
      </c>
      <c r="V1137" s="1">
        <v>0</v>
      </c>
      <c r="W1137" s="1">
        <v>0</v>
      </c>
      <c r="X1137" s="1">
        <v>0</v>
      </c>
      <c r="Y1137" s="1">
        <v>0</v>
      </c>
      <c r="Z1137" s="1">
        <v>0</v>
      </c>
      <c r="AA1137" s="1">
        <v>0</v>
      </c>
      <c r="AB1137" s="1">
        <v>0</v>
      </c>
      <c r="AC1137" s="1">
        <v>0</v>
      </c>
      <c r="AD1137" s="1">
        <v>0</v>
      </c>
    </row>
    <row r="1138" spans="1:30" s="20" customFormat="1" ht="36" customHeight="1" x14ac:dyDescent="0.25">
      <c r="A1138" s="2">
        <f t="shared" si="577"/>
        <v>1102</v>
      </c>
      <c r="B1138" s="6">
        <f>A1138</f>
        <v>1102</v>
      </c>
      <c r="C1138" s="19" t="s">
        <v>2414</v>
      </c>
      <c r="D1138" s="4">
        <f t="shared" si="598"/>
        <v>10700000</v>
      </c>
      <c r="E1138" s="1">
        <f>SUM(F1138:K1138)</f>
        <v>0</v>
      </c>
      <c r="F1138" s="1">
        <v>0</v>
      </c>
      <c r="G1138" s="1">
        <v>0</v>
      </c>
      <c r="H1138" s="1">
        <v>0</v>
      </c>
      <c r="I1138" s="1">
        <v>0</v>
      </c>
      <c r="J1138" s="1">
        <v>0</v>
      </c>
      <c r="K1138" s="1">
        <v>0</v>
      </c>
      <c r="L1138" s="2">
        <v>3</v>
      </c>
      <c r="M1138" s="1">
        <f>L1138*3500000</f>
        <v>10500000</v>
      </c>
      <c r="N1138" s="1">
        <v>0</v>
      </c>
      <c r="O1138" s="1">
        <v>0</v>
      </c>
      <c r="P1138" s="1">
        <v>0</v>
      </c>
      <c r="Q1138" s="1">
        <f>P1138*1400</f>
        <v>0</v>
      </c>
      <c r="R1138" s="1">
        <v>0</v>
      </c>
      <c r="S1138" s="1">
        <f>R1138*3751</f>
        <v>0</v>
      </c>
      <c r="T1138" s="1">
        <v>0</v>
      </c>
      <c r="U1138" s="1">
        <v>200000</v>
      </c>
      <c r="V1138" s="1">
        <v>0</v>
      </c>
      <c r="W1138" s="1">
        <v>0</v>
      </c>
      <c r="X1138" s="1">
        <v>0</v>
      </c>
      <c r="Y1138" s="1">
        <v>0</v>
      </c>
      <c r="Z1138" s="1">
        <v>0</v>
      </c>
      <c r="AA1138" s="1">
        <v>0</v>
      </c>
      <c r="AB1138" s="1">
        <v>0</v>
      </c>
      <c r="AC1138" s="1">
        <v>0</v>
      </c>
      <c r="AD1138" s="1">
        <v>0</v>
      </c>
    </row>
    <row r="1139" spans="1:30" s="20" customFormat="1" ht="36" customHeight="1" x14ac:dyDescent="0.25">
      <c r="A1139" s="2">
        <f t="shared" si="577"/>
        <v>1103</v>
      </c>
      <c r="B1139" s="6">
        <f t="shared" si="578"/>
        <v>1103</v>
      </c>
      <c r="C1139" s="19" t="s">
        <v>2229</v>
      </c>
      <c r="D1139" s="4">
        <f t="shared" si="598"/>
        <v>7200000</v>
      </c>
      <c r="E1139" s="1">
        <f t="shared" si="579"/>
        <v>0</v>
      </c>
      <c r="F1139" s="1">
        <v>0</v>
      </c>
      <c r="G1139" s="1">
        <v>0</v>
      </c>
      <c r="H1139" s="1">
        <v>0</v>
      </c>
      <c r="I1139" s="1">
        <v>0</v>
      </c>
      <c r="J1139" s="1">
        <v>0</v>
      </c>
      <c r="K1139" s="1">
        <v>0</v>
      </c>
      <c r="L1139" s="2">
        <v>2</v>
      </c>
      <c r="M1139" s="1">
        <f t="shared" si="580"/>
        <v>7000000</v>
      </c>
      <c r="N1139" s="1">
        <v>0</v>
      </c>
      <c r="O1139" s="1">
        <v>0</v>
      </c>
      <c r="P1139" s="1">
        <v>0</v>
      </c>
      <c r="Q1139" s="1">
        <f t="shared" si="581"/>
        <v>0</v>
      </c>
      <c r="R1139" s="1">
        <v>0</v>
      </c>
      <c r="S1139" s="1">
        <f t="shared" si="582"/>
        <v>0</v>
      </c>
      <c r="T1139" s="1">
        <v>0</v>
      </c>
      <c r="U1139" s="1">
        <v>200000</v>
      </c>
      <c r="V1139" s="1">
        <v>0</v>
      </c>
      <c r="W1139" s="1">
        <v>0</v>
      </c>
      <c r="X1139" s="1">
        <v>0</v>
      </c>
      <c r="Y1139" s="1">
        <v>0</v>
      </c>
      <c r="Z1139" s="1">
        <v>0</v>
      </c>
      <c r="AA1139" s="1">
        <v>0</v>
      </c>
      <c r="AB1139" s="1">
        <v>0</v>
      </c>
      <c r="AC1139" s="1">
        <v>0</v>
      </c>
      <c r="AD1139" s="1">
        <v>0</v>
      </c>
    </row>
    <row r="1140" spans="1:30" s="20" customFormat="1" ht="36" customHeight="1" x14ac:dyDescent="0.25">
      <c r="A1140" s="2">
        <f t="shared" si="577"/>
        <v>1104</v>
      </c>
      <c r="B1140" s="6">
        <f>A1140</f>
        <v>1104</v>
      </c>
      <c r="C1140" s="19" t="s">
        <v>2415</v>
      </c>
      <c r="D1140" s="4">
        <f t="shared" si="598"/>
        <v>7200000</v>
      </c>
      <c r="E1140" s="1">
        <f>SUM(F1140:K1140)</f>
        <v>0</v>
      </c>
      <c r="F1140" s="1">
        <v>0</v>
      </c>
      <c r="G1140" s="1">
        <v>0</v>
      </c>
      <c r="H1140" s="1">
        <v>0</v>
      </c>
      <c r="I1140" s="1">
        <v>0</v>
      </c>
      <c r="J1140" s="1">
        <v>0</v>
      </c>
      <c r="K1140" s="1">
        <v>0</v>
      </c>
      <c r="L1140" s="2">
        <v>2</v>
      </c>
      <c r="M1140" s="1">
        <f>L1140*3500000</f>
        <v>7000000</v>
      </c>
      <c r="N1140" s="1">
        <v>0</v>
      </c>
      <c r="O1140" s="1">
        <v>0</v>
      </c>
      <c r="P1140" s="1">
        <v>0</v>
      </c>
      <c r="Q1140" s="1">
        <f>P1140*1400</f>
        <v>0</v>
      </c>
      <c r="R1140" s="1">
        <v>0</v>
      </c>
      <c r="S1140" s="1">
        <f>R1140*3751</f>
        <v>0</v>
      </c>
      <c r="T1140" s="1">
        <v>0</v>
      </c>
      <c r="U1140" s="1">
        <v>200000</v>
      </c>
      <c r="V1140" s="1">
        <v>0</v>
      </c>
      <c r="W1140" s="1">
        <v>0</v>
      </c>
      <c r="X1140" s="1">
        <v>0</v>
      </c>
      <c r="Y1140" s="1">
        <v>0</v>
      </c>
      <c r="Z1140" s="1">
        <v>0</v>
      </c>
      <c r="AA1140" s="1">
        <v>0</v>
      </c>
      <c r="AB1140" s="1">
        <v>0</v>
      </c>
      <c r="AC1140" s="1">
        <v>0</v>
      </c>
      <c r="AD1140" s="1">
        <v>0</v>
      </c>
    </row>
    <row r="1141" spans="1:30" s="20" customFormat="1" ht="36" customHeight="1" x14ac:dyDescent="0.25">
      <c r="A1141" s="2">
        <f t="shared" si="577"/>
        <v>1105</v>
      </c>
      <c r="B1141" s="6">
        <f>A1141</f>
        <v>1105</v>
      </c>
      <c r="C1141" s="19" t="s">
        <v>2416</v>
      </c>
      <c r="D1141" s="4">
        <f t="shared" si="598"/>
        <v>10700000</v>
      </c>
      <c r="E1141" s="1">
        <f>SUM(F1141:K1141)</f>
        <v>0</v>
      </c>
      <c r="F1141" s="1">
        <v>0</v>
      </c>
      <c r="G1141" s="1">
        <v>0</v>
      </c>
      <c r="H1141" s="1">
        <v>0</v>
      </c>
      <c r="I1141" s="1">
        <v>0</v>
      </c>
      <c r="J1141" s="1">
        <v>0</v>
      </c>
      <c r="K1141" s="1">
        <v>0</v>
      </c>
      <c r="L1141" s="2">
        <v>3</v>
      </c>
      <c r="M1141" s="1">
        <f>L1141*3500000</f>
        <v>10500000</v>
      </c>
      <c r="N1141" s="1">
        <v>0</v>
      </c>
      <c r="O1141" s="1">
        <v>0</v>
      </c>
      <c r="P1141" s="1">
        <v>0</v>
      </c>
      <c r="Q1141" s="1">
        <f>P1141*1400</f>
        <v>0</v>
      </c>
      <c r="R1141" s="1">
        <v>0</v>
      </c>
      <c r="S1141" s="1">
        <f>R1141*3751</f>
        <v>0</v>
      </c>
      <c r="T1141" s="1">
        <v>0</v>
      </c>
      <c r="U1141" s="1">
        <v>200000</v>
      </c>
      <c r="V1141" s="1">
        <v>0</v>
      </c>
      <c r="W1141" s="1">
        <v>0</v>
      </c>
      <c r="X1141" s="1">
        <v>0</v>
      </c>
      <c r="Y1141" s="1">
        <v>0</v>
      </c>
      <c r="Z1141" s="1">
        <v>0</v>
      </c>
      <c r="AA1141" s="1">
        <v>0</v>
      </c>
      <c r="AB1141" s="1">
        <v>0</v>
      </c>
      <c r="AC1141" s="1">
        <v>0</v>
      </c>
      <c r="AD1141" s="1">
        <v>0</v>
      </c>
    </row>
    <row r="1142" spans="1:30" s="20" customFormat="1" ht="36" customHeight="1" x14ac:dyDescent="0.25">
      <c r="A1142" s="2">
        <f t="shared" si="577"/>
        <v>1106</v>
      </c>
      <c r="B1142" s="6">
        <f>A1142</f>
        <v>1106</v>
      </c>
      <c r="C1142" s="19" t="s">
        <v>2417</v>
      </c>
      <c r="D1142" s="4">
        <f t="shared" si="598"/>
        <v>10700000</v>
      </c>
      <c r="E1142" s="1">
        <f>SUM(F1142:K1142)</f>
        <v>0</v>
      </c>
      <c r="F1142" s="1">
        <v>0</v>
      </c>
      <c r="G1142" s="1">
        <v>0</v>
      </c>
      <c r="H1142" s="1">
        <v>0</v>
      </c>
      <c r="I1142" s="1">
        <v>0</v>
      </c>
      <c r="J1142" s="1">
        <v>0</v>
      </c>
      <c r="K1142" s="1">
        <v>0</v>
      </c>
      <c r="L1142" s="2">
        <v>3</v>
      </c>
      <c r="M1142" s="1">
        <f>L1142*3500000</f>
        <v>10500000</v>
      </c>
      <c r="N1142" s="1">
        <v>0</v>
      </c>
      <c r="O1142" s="1">
        <v>0</v>
      </c>
      <c r="P1142" s="1">
        <v>0</v>
      </c>
      <c r="Q1142" s="1">
        <f>P1142*1400</f>
        <v>0</v>
      </c>
      <c r="R1142" s="1">
        <v>0</v>
      </c>
      <c r="S1142" s="1">
        <f>R1142*3751</f>
        <v>0</v>
      </c>
      <c r="T1142" s="1">
        <v>0</v>
      </c>
      <c r="U1142" s="1">
        <v>200000</v>
      </c>
      <c r="V1142" s="1">
        <v>0</v>
      </c>
      <c r="W1142" s="1">
        <v>0</v>
      </c>
      <c r="X1142" s="1">
        <v>0</v>
      </c>
      <c r="Y1142" s="1">
        <v>0</v>
      </c>
      <c r="Z1142" s="1">
        <v>0</v>
      </c>
      <c r="AA1142" s="1">
        <v>0</v>
      </c>
      <c r="AB1142" s="1">
        <v>0</v>
      </c>
      <c r="AC1142" s="1">
        <v>0</v>
      </c>
      <c r="AD1142" s="1">
        <v>0</v>
      </c>
    </row>
    <row r="1143" spans="1:30" s="20" customFormat="1" ht="36" customHeight="1" x14ac:dyDescent="0.25">
      <c r="A1143" s="2">
        <f t="shared" si="577"/>
        <v>1107</v>
      </c>
      <c r="B1143" s="6">
        <f t="shared" si="578"/>
        <v>1107</v>
      </c>
      <c r="C1143" s="19" t="s">
        <v>618</v>
      </c>
      <c r="D1143" s="4">
        <f t="shared" si="598"/>
        <v>2084039.2000000002</v>
      </c>
      <c r="E1143" s="1">
        <f t="shared" ref="E1143:E1184" si="604">SUM(F1143:K1143)</f>
        <v>608922.60000000009</v>
      </c>
      <c r="F1143" s="1">
        <f>804*366.6</f>
        <v>294746.40000000002</v>
      </c>
      <c r="G1143" s="1">
        <v>0</v>
      </c>
      <c r="H1143" s="1">
        <f>390*366.6</f>
        <v>142974</v>
      </c>
      <c r="I1143" s="1">
        <v>0</v>
      </c>
      <c r="J1143" s="1">
        <f>467*366.6</f>
        <v>171202.2</v>
      </c>
      <c r="K1143" s="1">
        <v>0</v>
      </c>
      <c r="L1143" s="2">
        <v>0</v>
      </c>
      <c r="M1143" s="1">
        <f t="shared" ref="M1143:M1164" si="605">L1143*3500000</f>
        <v>0</v>
      </c>
      <c r="N1143" s="1">
        <v>0</v>
      </c>
      <c r="O1143" s="1">
        <v>0</v>
      </c>
      <c r="P1143" s="1">
        <v>0</v>
      </c>
      <c r="Q1143" s="1">
        <f t="shared" ref="Q1143:Q1184" si="606">P1143*1400</f>
        <v>0</v>
      </c>
      <c r="R1143" s="1">
        <v>366.6</v>
      </c>
      <c r="S1143" s="1">
        <f t="shared" ref="S1143:S1184" si="607">R1143*3751</f>
        <v>1375116.6</v>
      </c>
      <c r="T1143" s="1">
        <v>0</v>
      </c>
      <c r="U1143" s="1">
        <v>50000</v>
      </c>
      <c r="V1143" s="1">
        <v>0</v>
      </c>
      <c r="W1143" s="1">
        <v>50000</v>
      </c>
      <c r="X1143" s="1">
        <v>0</v>
      </c>
      <c r="Y1143" s="1">
        <v>0</v>
      </c>
      <c r="Z1143" s="1">
        <v>0</v>
      </c>
      <c r="AA1143" s="1">
        <v>0</v>
      </c>
      <c r="AB1143" s="1">
        <v>0</v>
      </c>
      <c r="AC1143" s="1">
        <v>0</v>
      </c>
      <c r="AD1143" s="1">
        <v>0</v>
      </c>
    </row>
    <row r="1144" spans="1:30" s="20" customFormat="1" ht="36" customHeight="1" x14ac:dyDescent="0.25">
      <c r="A1144" s="2">
        <f t="shared" si="577"/>
        <v>1108</v>
      </c>
      <c r="B1144" s="6">
        <f t="shared" si="578"/>
        <v>1108</v>
      </c>
      <c r="C1144" s="19" t="s">
        <v>619</v>
      </c>
      <c r="D1144" s="4">
        <f t="shared" si="598"/>
        <v>7286852.6000000006</v>
      </c>
      <c r="E1144" s="1">
        <f t="shared" si="604"/>
        <v>7116852.6000000006</v>
      </c>
      <c r="F1144" s="1">
        <f>804*2121.9</f>
        <v>1706007.6</v>
      </c>
      <c r="G1144" s="1">
        <f>1693*2121.9</f>
        <v>3592376.7</v>
      </c>
      <c r="H1144" s="1">
        <f>390*2121.9</f>
        <v>827541</v>
      </c>
      <c r="I1144" s="1">
        <v>0</v>
      </c>
      <c r="J1144" s="1">
        <f>467*2121.9</f>
        <v>990927.3</v>
      </c>
      <c r="K1144" s="1">
        <v>0</v>
      </c>
      <c r="L1144" s="2">
        <v>0</v>
      </c>
      <c r="M1144" s="1">
        <f t="shared" si="605"/>
        <v>0</v>
      </c>
      <c r="N1144" s="1">
        <v>0</v>
      </c>
      <c r="O1144" s="1">
        <v>0</v>
      </c>
      <c r="P1144" s="1">
        <v>50</v>
      </c>
      <c r="Q1144" s="1">
        <f t="shared" si="606"/>
        <v>70000</v>
      </c>
      <c r="R1144" s="1">
        <v>0</v>
      </c>
      <c r="S1144" s="1">
        <f t="shared" si="607"/>
        <v>0</v>
      </c>
      <c r="T1144" s="1">
        <v>0</v>
      </c>
      <c r="U1144" s="1">
        <v>50000</v>
      </c>
      <c r="V1144" s="1">
        <v>0</v>
      </c>
      <c r="W1144" s="1">
        <v>50000</v>
      </c>
      <c r="X1144" s="1">
        <v>0</v>
      </c>
      <c r="Y1144" s="1">
        <v>0</v>
      </c>
      <c r="Z1144" s="1">
        <v>0</v>
      </c>
      <c r="AA1144" s="1">
        <v>0</v>
      </c>
      <c r="AB1144" s="1">
        <v>0</v>
      </c>
      <c r="AC1144" s="1">
        <v>0</v>
      </c>
      <c r="AD1144" s="1">
        <v>0</v>
      </c>
    </row>
    <row r="1145" spans="1:30" s="20" customFormat="1" ht="36" customHeight="1" x14ac:dyDescent="0.25">
      <c r="A1145" s="2">
        <f t="shared" si="577"/>
        <v>1109</v>
      </c>
      <c r="B1145" s="6">
        <f t="shared" si="578"/>
        <v>1109</v>
      </c>
      <c r="C1145" s="19" t="s">
        <v>620</v>
      </c>
      <c r="D1145" s="4">
        <f t="shared" si="598"/>
        <v>6284553.2000000011</v>
      </c>
      <c r="E1145" s="1">
        <f t="shared" si="604"/>
        <v>3162372.5000000005</v>
      </c>
      <c r="F1145" s="1">
        <f>804*805.7</f>
        <v>647782.80000000005</v>
      </c>
      <c r="G1145" s="1">
        <f>1693*805.7</f>
        <v>1364050.1</v>
      </c>
      <c r="H1145" s="1">
        <f>390*805.7</f>
        <v>314223</v>
      </c>
      <c r="I1145" s="1">
        <f>571*805.7</f>
        <v>460054.7</v>
      </c>
      <c r="J1145" s="1">
        <f>467*805.7</f>
        <v>376261.9</v>
      </c>
      <c r="K1145" s="1">
        <v>0</v>
      </c>
      <c r="L1145" s="2">
        <v>0</v>
      </c>
      <c r="M1145" s="1">
        <f t="shared" si="605"/>
        <v>0</v>
      </c>
      <c r="N1145" s="1">
        <v>0</v>
      </c>
      <c r="O1145" s="1">
        <v>0</v>
      </c>
      <c r="P1145" s="1">
        <v>0</v>
      </c>
      <c r="Q1145" s="1">
        <f t="shared" si="606"/>
        <v>0</v>
      </c>
      <c r="R1145" s="1">
        <v>805.7</v>
      </c>
      <c r="S1145" s="1">
        <f t="shared" si="607"/>
        <v>3022180.7</v>
      </c>
      <c r="T1145" s="1">
        <v>0</v>
      </c>
      <c r="U1145" s="1">
        <v>50000</v>
      </c>
      <c r="V1145" s="1">
        <v>0</v>
      </c>
      <c r="W1145" s="1">
        <v>50000</v>
      </c>
      <c r="X1145" s="1">
        <v>0</v>
      </c>
      <c r="Y1145" s="1">
        <v>0</v>
      </c>
      <c r="Z1145" s="1">
        <v>0</v>
      </c>
      <c r="AA1145" s="1">
        <v>0</v>
      </c>
      <c r="AB1145" s="1">
        <v>0</v>
      </c>
      <c r="AC1145" s="1">
        <v>0</v>
      </c>
      <c r="AD1145" s="1">
        <v>0</v>
      </c>
    </row>
    <row r="1146" spans="1:30" s="20" customFormat="1" ht="36" customHeight="1" x14ac:dyDescent="0.25">
      <c r="A1146" s="2">
        <f t="shared" si="577"/>
        <v>1110</v>
      </c>
      <c r="B1146" s="6">
        <f t="shared" ref="B1146:B1163" si="608">A1146</f>
        <v>1110</v>
      </c>
      <c r="C1146" s="19" t="s">
        <v>621</v>
      </c>
      <c r="D1146" s="4">
        <f t="shared" si="598"/>
        <v>4616035.37</v>
      </c>
      <c r="E1146" s="1">
        <f t="shared" si="604"/>
        <v>1385938.4</v>
      </c>
      <c r="F1146" s="1">
        <f>804*834.4</f>
        <v>670857.6</v>
      </c>
      <c r="G1146" s="1">
        <v>0</v>
      </c>
      <c r="H1146" s="1">
        <f>390*834.4</f>
        <v>325416</v>
      </c>
      <c r="I1146" s="1">
        <v>0</v>
      </c>
      <c r="J1146" s="1">
        <f>467*834.4</f>
        <v>389664.8</v>
      </c>
      <c r="K1146" s="1">
        <v>0</v>
      </c>
      <c r="L1146" s="2">
        <v>0</v>
      </c>
      <c r="M1146" s="1">
        <f t="shared" si="605"/>
        <v>0</v>
      </c>
      <c r="N1146" s="1">
        <v>0</v>
      </c>
      <c r="O1146" s="1">
        <v>0</v>
      </c>
      <c r="P1146" s="1">
        <v>0</v>
      </c>
      <c r="Q1146" s="1">
        <f t="shared" si="606"/>
        <v>0</v>
      </c>
      <c r="R1146" s="1">
        <v>834.47</v>
      </c>
      <c r="S1146" s="1">
        <f t="shared" si="607"/>
        <v>3130096.97</v>
      </c>
      <c r="T1146" s="1">
        <v>0</v>
      </c>
      <c r="U1146" s="1">
        <v>50000</v>
      </c>
      <c r="V1146" s="1">
        <v>0</v>
      </c>
      <c r="W1146" s="1">
        <v>50000</v>
      </c>
      <c r="X1146" s="1">
        <v>0</v>
      </c>
      <c r="Y1146" s="1">
        <v>0</v>
      </c>
      <c r="Z1146" s="1">
        <v>0</v>
      </c>
      <c r="AA1146" s="1">
        <v>0</v>
      </c>
      <c r="AB1146" s="1">
        <v>0</v>
      </c>
      <c r="AC1146" s="1">
        <v>0</v>
      </c>
      <c r="AD1146" s="1">
        <v>0</v>
      </c>
    </row>
    <row r="1147" spans="1:30" s="20" customFormat="1" ht="36" customHeight="1" x14ac:dyDescent="0.25">
      <c r="A1147" s="2">
        <f t="shared" si="577"/>
        <v>1111</v>
      </c>
      <c r="B1147" s="6">
        <f t="shared" si="608"/>
        <v>1111</v>
      </c>
      <c r="C1147" s="19" t="s">
        <v>622</v>
      </c>
      <c r="D1147" s="4">
        <f t="shared" si="598"/>
        <v>6304900</v>
      </c>
      <c r="E1147" s="1">
        <f t="shared" si="604"/>
        <v>6204900</v>
      </c>
      <c r="F1147" s="1">
        <f>804*1850</f>
        <v>1487400</v>
      </c>
      <c r="G1147" s="1">
        <f>1693*1850</f>
        <v>3132050</v>
      </c>
      <c r="H1147" s="1">
        <f>390*1850</f>
        <v>721500</v>
      </c>
      <c r="I1147" s="1">
        <v>0</v>
      </c>
      <c r="J1147" s="1">
        <f>467*1850</f>
        <v>863950</v>
      </c>
      <c r="K1147" s="1">
        <v>0</v>
      </c>
      <c r="L1147" s="2">
        <v>0</v>
      </c>
      <c r="M1147" s="1">
        <f t="shared" si="605"/>
        <v>0</v>
      </c>
      <c r="N1147" s="1">
        <v>0</v>
      </c>
      <c r="O1147" s="1">
        <v>0</v>
      </c>
      <c r="P1147" s="1">
        <v>0</v>
      </c>
      <c r="Q1147" s="1">
        <f t="shared" si="606"/>
        <v>0</v>
      </c>
      <c r="R1147" s="1">
        <v>0</v>
      </c>
      <c r="S1147" s="1">
        <f t="shared" si="607"/>
        <v>0</v>
      </c>
      <c r="T1147" s="1">
        <v>0</v>
      </c>
      <c r="U1147" s="1">
        <v>50000</v>
      </c>
      <c r="V1147" s="1">
        <v>0</v>
      </c>
      <c r="W1147" s="1">
        <v>50000</v>
      </c>
      <c r="X1147" s="1">
        <v>0</v>
      </c>
      <c r="Y1147" s="1">
        <v>0</v>
      </c>
      <c r="Z1147" s="1">
        <v>0</v>
      </c>
      <c r="AA1147" s="1">
        <v>0</v>
      </c>
      <c r="AB1147" s="1">
        <v>0</v>
      </c>
      <c r="AC1147" s="1">
        <v>0</v>
      </c>
      <c r="AD1147" s="1">
        <v>0</v>
      </c>
    </row>
    <row r="1148" spans="1:30" s="20" customFormat="1" ht="36" customHeight="1" x14ac:dyDescent="0.25">
      <c r="A1148" s="2">
        <f t="shared" si="577"/>
        <v>1112</v>
      </c>
      <c r="B1148" s="6">
        <f t="shared" si="608"/>
        <v>1112</v>
      </c>
      <c r="C1148" s="19" t="s">
        <v>623</v>
      </c>
      <c r="D1148" s="4">
        <f t="shared" si="598"/>
        <v>7113189.9999999991</v>
      </c>
      <c r="E1148" s="1">
        <f t="shared" si="604"/>
        <v>7013189.9999999991</v>
      </c>
      <c r="F1148" s="1">
        <f>804*1786.8</f>
        <v>1436587.2</v>
      </c>
      <c r="G1148" s="1">
        <f>1693*1786.8</f>
        <v>3025052.4</v>
      </c>
      <c r="H1148" s="1">
        <f>390*1786.8</f>
        <v>696852</v>
      </c>
      <c r="I1148" s="1">
        <f>571*1786.8</f>
        <v>1020262.7999999999</v>
      </c>
      <c r="J1148" s="1">
        <f>467*1786.8</f>
        <v>834435.6</v>
      </c>
      <c r="K1148" s="1">
        <v>0</v>
      </c>
      <c r="L1148" s="2">
        <v>0</v>
      </c>
      <c r="M1148" s="1">
        <f t="shared" si="605"/>
        <v>0</v>
      </c>
      <c r="N1148" s="1">
        <v>0</v>
      </c>
      <c r="O1148" s="1">
        <v>0</v>
      </c>
      <c r="P1148" s="1">
        <v>0</v>
      </c>
      <c r="Q1148" s="1">
        <f t="shared" si="606"/>
        <v>0</v>
      </c>
      <c r="R1148" s="1">
        <v>0</v>
      </c>
      <c r="S1148" s="1">
        <f t="shared" si="607"/>
        <v>0</v>
      </c>
      <c r="T1148" s="1">
        <v>0</v>
      </c>
      <c r="U1148" s="1">
        <v>50000</v>
      </c>
      <c r="V1148" s="1">
        <v>0</v>
      </c>
      <c r="W1148" s="1">
        <v>50000</v>
      </c>
      <c r="X1148" s="1">
        <v>0</v>
      </c>
      <c r="Y1148" s="1">
        <v>0</v>
      </c>
      <c r="Z1148" s="1">
        <v>0</v>
      </c>
      <c r="AA1148" s="1">
        <v>0</v>
      </c>
      <c r="AB1148" s="1">
        <v>0</v>
      </c>
      <c r="AC1148" s="1">
        <v>0</v>
      </c>
      <c r="AD1148" s="1">
        <v>0</v>
      </c>
    </row>
    <row r="1149" spans="1:30" s="20" customFormat="1" ht="36" customHeight="1" x14ac:dyDescent="0.25">
      <c r="A1149" s="2">
        <f t="shared" si="577"/>
        <v>1113</v>
      </c>
      <c r="B1149" s="6">
        <f t="shared" si="608"/>
        <v>1113</v>
      </c>
      <c r="C1149" s="19" t="s">
        <v>624</v>
      </c>
      <c r="D1149" s="4">
        <f t="shared" si="598"/>
        <v>7276212.5</v>
      </c>
      <c r="E1149" s="1">
        <f t="shared" si="604"/>
        <v>7106212.5</v>
      </c>
      <c r="F1149" s="1">
        <f>804*1810.5</f>
        <v>1455642</v>
      </c>
      <c r="G1149" s="1">
        <f>1693*1810.5</f>
        <v>3065176.5</v>
      </c>
      <c r="H1149" s="1">
        <f>390*1810.5</f>
        <v>706095</v>
      </c>
      <c r="I1149" s="1">
        <f>571*1810.5</f>
        <v>1033795.5</v>
      </c>
      <c r="J1149" s="1">
        <f>467*1810.5</f>
        <v>845503.5</v>
      </c>
      <c r="K1149" s="1">
        <v>0</v>
      </c>
      <c r="L1149" s="2">
        <v>0</v>
      </c>
      <c r="M1149" s="1">
        <f t="shared" si="605"/>
        <v>0</v>
      </c>
      <c r="N1149" s="1">
        <v>0</v>
      </c>
      <c r="O1149" s="1">
        <v>0</v>
      </c>
      <c r="P1149" s="1">
        <v>50</v>
      </c>
      <c r="Q1149" s="1">
        <f t="shared" si="606"/>
        <v>70000</v>
      </c>
      <c r="R1149" s="1">
        <v>0</v>
      </c>
      <c r="S1149" s="1">
        <f t="shared" si="607"/>
        <v>0</v>
      </c>
      <c r="T1149" s="1">
        <v>0</v>
      </c>
      <c r="U1149" s="1">
        <v>50000</v>
      </c>
      <c r="V1149" s="1">
        <v>0</v>
      </c>
      <c r="W1149" s="1">
        <v>50000</v>
      </c>
      <c r="X1149" s="1">
        <v>0</v>
      </c>
      <c r="Y1149" s="1">
        <v>0</v>
      </c>
      <c r="Z1149" s="1">
        <v>0</v>
      </c>
      <c r="AA1149" s="1">
        <v>0</v>
      </c>
      <c r="AB1149" s="1">
        <v>0</v>
      </c>
      <c r="AC1149" s="1">
        <v>0</v>
      </c>
      <c r="AD1149" s="1">
        <v>0</v>
      </c>
    </row>
    <row r="1150" spans="1:30" s="20" customFormat="1" ht="36" customHeight="1" x14ac:dyDescent="0.25">
      <c r="A1150" s="2">
        <f t="shared" si="577"/>
        <v>1114</v>
      </c>
      <c r="B1150" s="6">
        <f t="shared" si="608"/>
        <v>1114</v>
      </c>
      <c r="C1150" s="19" t="s">
        <v>625</v>
      </c>
      <c r="D1150" s="4">
        <f t="shared" si="598"/>
        <v>6790068</v>
      </c>
      <c r="E1150" s="1">
        <f t="shared" si="604"/>
        <v>3158126.4000000004</v>
      </c>
      <c r="F1150" s="1">
        <f>804*941.6</f>
        <v>757046.4</v>
      </c>
      <c r="G1150" s="1">
        <f>1693*941.6</f>
        <v>1594128.8</v>
      </c>
      <c r="H1150" s="1">
        <f>390*941.6</f>
        <v>367224</v>
      </c>
      <c r="I1150" s="1">
        <v>0</v>
      </c>
      <c r="J1150" s="1">
        <f>467*941.6</f>
        <v>439727.2</v>
      </c>
      <c r="K1150" s="1">
        <v>0</v>
      </c>
      <c r="L1150" s="2">
        <v>0</v>
      </c>
      <c r="M1150" s="1">
        <f t="shared" si="605"/>
        <v>0</v>
      </c>
      <c r="N1150" s="1">
        <v>0</v>
      </c>
      <c r="O1150" s="1">
        <v>0</v>
      </c>
      <c r="P1150" s="1">
        <v>0</v>
      </c>
      <c r="Q1150" s="1">
        <f t="shared" si="606"/>
        <v>0</v>
      </c>
      <c r="R1150" s="1">
        <v>941.6</v>
      </c>
      <c r="S1150" s="1">
        <f t="shared" si="607"/>
        <v>3531941.6</v>
      </c>
      <c r="T1150" s="1">
        <v>0</v>
      </c>
      <c r="U1150" s="1">
        <v>50000</v>
      </c>
      <c r="V1150" s="1">
        <v>0</v>
      </c>
      <c r="W1150" s="1">
        <v>50000</v>
      </c>
      <c r="X1150" s="1">
        <v>0</v>
      </c>
      <c r="Y1150" s="1">
        <v>0</v>
      </c>
      <c r="Z1150" s="1">
        <v>0</v>
      </c>
      <c r="AA1150" s="1">
        <v>0</v>
      </c>
      <c r="AB1150" s="1">
        <v>0</v>
      </c>
      <c r="AC1150" s="1">
        <v>0</v>
      </c>
      <c r="AD1150" s="1">
        <v>0</v>
      </c>
    </row>
    <row r="1151" spans="1:30" s="20" customFormat="1" ht="36" customHeight="1" x14ac:dyDescent="0.25">
      <c r="A1151" s="2">
        <f t="shared" si="577"/>
        <v>1115</v>
      </c>
      <c r="B1151" s="6">
        <f t="shared" si="608"/>
        <v>1115</v>
      </c>
      <c r="C1151" s="19" t="s">
        <v>2210</v>
      </c>
      <c r="D1151" s="4">
        <f t="shared" si="598"/>
        <v>18852097.5</v>
      </c>
      <c r="E1151" s="1">
        <f t="shared" si="604"/>
        <v>10176347.5</v>
      </c>
      <c r="F1151" s="1">
        <f>804*2592.7</f>
        <v>2084530.7999999998</v>
      </c>
      <c r="G1151" s="1">
        <f>1693*2592.7</f>
        <v>4389441.0999999996</v>
      </c>
      <c r="H1151" s="1">
        <f>390*2592.7</f>
        <v>1011152.9999999999</v>
      </c>
      <c r="I1151" s="1">
        <f>571*2592.7</f>
        <v>1480431.7</v>
      </c>
      <c r="J1151" s="1">
        <f>467*2592.7</f>
        <v>1210790.8999999999</v>
      </c>
      <c r="K1151" s="1">
        <v>0</v>
      </c>
      <c r="L1151" s="2">
        <v>0</v>
      </c>
      <c r="M1151" s="1">
        <f t="shared" si="605"/>
        <v>0</v>
      </c>
      <c r="N1151" s="1">
        <v>750</v>
      </c>
      <c r="O1151" s="1">
        <f>N1151*7750</f>
        <v>5812500</v>
      </c>
      <c r="P1151" s="1">
        <v>0</v>
      </c>
      <c r="Q1151" s="1">
        <f t="shared" si="606"/>
        <v>0</v>
      </c>
      <c r="R1151" s="1">
        <v>750</v>
      </c>
      <c r="S1151" s="1">
        <f t="shared" si="607"/>
        <v>2813250</v>
      </c>
      <c r="T1151" s="1">
        <v>0</v>
      </c>
      <c r="U1151" s="1">
        <v>50000</v>
      </c>
      <c r="V1151" s="1">
        <v>0</v>
      </c>
      <c r="W1151" s="1">
        <v>0</v>
      </c>
      <c r="X1151" s="1">
        <v>0</v>
      </c>
      <c r="Y1151" s="1">
        <v>0</v>
      </c>
      <c r="Z1151" s="1">
        <v>0</v>
      </c>
      <c r="AA1151" s="1">
        <v>0</v>
      </c>
      <c r="AB1151" s="1">
        <v>0</v>
      </c>
      <c r="AC1151" s="1">
        <v>0</v>
      </c>
      <c r="AD1151" s="1">
        <v>0</v>
      </c>
    </row>
    <row r="1152" spans="1:30" s="20" customFormat="1" ht="36" customHeight="1" x14ac:dyDescent="0.25">
      <c r="A1152" s="2">
        <f t="shared" si="577"/>
        <v>1116</v>
      </c>
      <c r="B1152" s="6">
        <f>A1152</f>
        <v>1116</v>
      </c>
      <c r="C1152" s="19" t="s">
        <v>2418</v>
      </c>
      <c r="D1152" s="4">
        <f t="shared" si="598"/>
        <v>10700000</v>
      </c>
      <c r="E1152" s="1">
        <f>SUM(F1152:K1152)</f>
        <v>0</v>
      </c>
      <c r="F1152" s="1">
        <v>0</v>
      </c>
      <c r="G1152" s="1">
        <v>0</v>
      </c>
      <c r="H1152" s="1">
        <v>0</v>
      </c>
      <c r="I1152" s="1">
        <v>0</v>
      </c>
      <c r="J1152" s="1">
        <v>0</v>
      </c>
      <c r="K1152" s="1">
        <v>0</v>
      </c>
      <c r="L1152" s="2">
        <v>3</v>
      </c>
      <c r="M1152" s="1">
        <f>L1152*3500000</f>
        <v>10500000</v>
      </c>
      <c r="N1152" s="1">
        <v>0</v>
      </c>
      <c r="O1152" s="1">
        <v>0</v>
      </c>
      <c r="P1152" s="1">
        <v>0</v>
      </c>
      <c r="Q1152" s="1">
        <f>P1152*1400</f>
        <v>0</v>
      </c>
      <c r="R1152" s="1">
        <v>0</v>
      </c>
      <c r="S1152" s="1">
        <f>R1152*3751</f>
        <v>0</v>
      </c>
      <c r="T1152" s="1">
        <v>0</v>
      </c>
      <c r="U1152" s="1">
        <v>200000</v>
      </c>
      <c r="V1152" s="1">
        <v>0</v>
      </c>
      <c r="W1152" s="1">
        <v>0</v>
      </c>
      <c r="X1152" s="1">
        <v>0</v>
      </c>
      <c r="Y1152" s="1">
        <v>0</v>
      </c>
      <c r="Z1152" s="1">
        <v>0</v>
      </c>
      <c r="AA1152" s="1">
        <v>0</v>
      </c>
      <c r="AB1152" s="1">
        <v>0</v>
      </c>
      <c r="AC1152" s="1">
        <v>0</v>
      </c>
      <c r="AD1152" s="1">
        <v>0</v>
      </c>
    </row>
    <row r="1153" spans="1:30" s="20" customFormat="1" ht="36" customHeight="1" x14ac:dyDescent="0.25">
      <c r="A1153" s="2">
        <f t="shared" si="577"/>
        <v>1117</v>
      </c>
      <c r="B1153" s="6">
        <f t="shared" si="608"/>
        <v>1117</v>
      </c>
      <c r="C1153" s="19" t="s">
        <v>2211</v>
      </c>
      <c r="D1153" s="4">
        <f t="shared" si="598"/>
        <v>8483633</v>
      </c>
      <c r="E1153" s="1">
        <f t="shared" si="604"/>
        <v>8433633</v>
      </c>
      <c r="F1153" s="1">
        <f>804*2514.5</f>
        <v>2021658</v>
      </c>
      <c r="G1153" s="1">
        <f>1693*2514.5</f>
        <v>4257048.5</v>
      </c>
      <c r="H1153" s="1">
        <f>390*2514.5</f>
        <v>980655</v>
      </c>
      <c r="I1153" s="1">
        <v>0</v>
      </c>
      <c r="J1153" s="1">
        <f>467*2514.5</f>
        <v>1174271.5</v>
      </c>
      <c r="K1153" s="1">
        <v>0</v>
      </c>
      <c r="L1153" s="2">
        <v>0</v>
      </c>
      <c r="M1153" s="1">
        <f t="shared" si="605"/>
        <v>0</v>
      </c>
      <c r="N1153" s="1">
        <v>0</v>
      </c>
      <c r="O1153" s="1">
        <v>0</v>
      </c>
      <c r="P1153" s="1">
        <v>0</v>
      </c>
      <c r="Q1153" s="1">
        <f t="shared" si="606"/>
        <v>0</v>
      </c>
      <c r="R1153" s="1">
        <v>0</v>
      </c>
      <c r="S1153" s="1">
        <f t="shared" si="607"/>
        <v>0</v>
      </c>
      <c r="T1153" s="1">
        <v>0</v>
      </c>
      <c r="U1153" s="1">
        <v>50000</v>
      </c>
      <c r="V1153" s="1">
        <v>0</v>
      </c>
      <c r="W1153" s="1">
        <v>0</v>
      </c>
      <c r="X1153" s="1">
        <v>0</v>
      </c>
      <c r="Y1153" s="1">
        <v>0</v>
      </c>
      <c r="Z1153" s="1">
        <v>0</v>
      </c>
      <c r="AA1153" s="1">
        <v>0</v>
      </c>
      <c r="AB1153" s="1">
        <v>0</v>
      </c>
      <c r="AC1153" s="1">
        <v>0</v>
      </c>
      <c r="AD1153" s="1">
        <v>0</v>
      </c>
    </row>
    <row r="1154" spans="1:30" s="20" customFormat="1" ht="36" customHeight="1" x14ac:dyDescent="0.25">
      <c r="A1154" s="2">
        <f t="shared" si="577"/>
        <v>1118</v>
      </c>
      <c r="B1154" s="6">
        <f t="shared" ref="B1154:B1157" si="609">A1154</f>
        <v>1118</v>
      </c>
      <c r="C1154" s="19" t="s">
        <v>1591</v>
      </c>
      <c r="D1154" s="4">
        <f t="shared" si="598"/>
        <v>5812500</v>
      </c>
      <c r="E1154" s="1">
        <f t="shared" ref="E1154:E1157" si="610">SUM(F1154:K1154)</f>
        <v>0</v>
      </c>
      <c r="F1154" s="1">
        <v>0</v>
      </c>
      <c r="G1154" s="1">
        <v>0</v>
      </c>
      <c r="H1154" s="1">
        <v>0</v>
      </c>
      <c r="I1154" s="1">
        <v>0</v>
      </c>
      <c r="J1154" s="1">
        <v>0</v>
      </c>
      <c r="K1154" s="1">
        <v>0</v>
      </c>
      <c r="L1154" s="2">
        <v>0</v>
      </c>
      <c r="M1154" s="1">
        <f t="shared" ref="M1154" si="611">L1154*3500000</f>
        <v>0</v>
      </c>
      <c r="N1154" s="1">
        <v>750</v>
      </c>
      <c r="O1154" s="1">
        <f>N1154*7750</f>
        <v>5812500</v>
      </c>
      <c r="P1154" s="1">
        <v>0</v>
      </c>
      <c r="Q1154" s="1">
        <f t="shared" ref="Q1154:Q1157" si="612">P1154*1400</f>
        <v>0</v>
      </c>
      <c r="R1154" s="1">
        <v>0</v>
      </c>
      <c r="S1154" s="1">
        <f t="shared" ref="S1154:S1157" si="613">R1154*3751</f>
        <v>0</v>
      </c>
      <c r="T1154" s="1">
        <v>0</v>
      </c>
      <c r="U1154" s="1">
        <v>0</v>
      </c>
      <c r="V1154" s="1">
        <v>0</v>
      </c>
      <c r="W1154" s="1">
        <v>0</v>
      </c>
      <c r="X1154" s="1">
        <v>0</v>
      </c>
      <c r="Y1154" s="1">
        <v>0</v>
      </c>
      <c r="Z1154" s="1">
        <v>0</v>
      </c>
      <c r="AA1154" s="1">
        <v>0</v>
      </c>
      <c r="AB1154" s="1">
        <v>0</v>
      </c>
      <c r="AC1154" s="1">
        <v>0</v>
      </c>
      <c r="AD1154" s="1">
        <v>0</v>
      </c>
    </row>
    <row r="1155" spans="1:30" s="20" customFormat="1" ht="36" customHeight="1" x14ac:dyDescent="0.25">
      <c r="A1155" s="2">
        <f t="shared" si="577"/>
        <v>1119</v>
      </c>
      <c r="B1155" s="6">
        <f>A1155</f>
        <v>1119</v>
      </c>
      <c r="C1155" s="19" t="s">
        <v>2419</v>
      </c>
      <c r="D1155" s="4">
        <f t="shared" si="598"/>
        <v>7200000</v>
      </c>
      <c r="E1155" s="1">
        <f>SUM(F1155:K1155)</f>
        <v>0</v>
      </c>
      <c r="F1155" s="1">
        <v>0</v>
      </c>
      <c r="G1155" s="1">
        <v>0</v>
      </c>
      <c r="H1155" s="1">
        <v>0</v>
      </c>
      <c r="I1155" s="1">
        <v>0</v>
      </c>
      <c r="J1155" s="1">
        <v>0</v>
      </c>
      <c r="K1155" s="1">
        <v>0</v>
      </c>
      <c r="L1155" s="2">
        <v>2</v>
      </c>
      <c r="M1155" s="1">
        <f>L1155*3500000</f>
        <v>7000000</v>
      </c>
      <c r="N1155" s="1">
        <v>0</v>
      </c>
      <c r="O1155" s="1">
        <v>0</v>
      </c>
      <c r="P1155" s="1">
        <v>0</v>
      </c>
      <c r="Q1155" s="1">
        <f>P1155*1400</f>
        <v>0</v>
      </c>
      <c r="R1155" s="1">
        <v>0</v>
      </c>
      <c r="S1155" s="1">
        <f>R1155*3751</f>
        <v>0</v>
      </c>
      <c r="T1155" s="1">
        <v>0</v>
      </c>
      <c r="U1155" s="1">
        <v>200000</v>
      </c>
      <c r="V1155" s="1">
        <v>0</v>
      </c>
      <c r="W1155" s="1">
        <v>0</v>
      </c>
      <c r="X1155" s="1">
        <v>0</v>
      </c>
      <c r="Y1155" s="1">
        <v>0</v>
      </c>
      <c r="Z1155" s="1">
        <v>0</v>
      </c>
      <c r="AA1155" s="1">
        <v>0</v>
      </c>
      <c r="AB1155" s="1">
        <v>0</v>
      </c>
      <c r="AC1155" s="1">
        <v>0</v>
      </c>
      <c r="AD1155" s="1">
        <v>0</v>
      </c>
    </row>
    <row r="1156" spans="1:30" s="20" customFormat="1" ht="36" customHeight="1" x14ac:dyDescent="0.25">
      <c r="A1156" s="2">
        <f t="shared" si="577"/>
        <v>1120</v>
      </c>
      <c r="B1156" s="3">
        <f t="shared" ref="B1156" si="614">A1156</f>
        <v>1120</v>
      </c>
      <c r="C1156" s="19" t="s">
        <v>1594</v>
      </c>
      <c r="D1156" s="4">
        <f t="shared" si="598"/>
        <v>9720447.5</v>
      </c>
      <c r="E1156" s="1">
        <f t="shared" ref="E1156" si="615">SUM(F1156:K1156)</f>
        <v>3315447.5000000005</v>
      </c>
      <c r="F1156" s="1">
        <f>804*844.7</f>
        <v>679138.8</v>
      </c>
      <c r="G1156" s="1">
        <f>1693*844.7</f>
        <v>1430077.1</v>
      </c>
      <c r="H1156" s="1">
        <f>390*844.7</f>
        <v>329433</v>
      </c>
      <c r="I1156" s="1">
        <f>571*844.7</f>
        <v>482323.7</v>
      </c>
      <c r="J1156" s="1">
        <f>467*844.7</f>
        <v>394474.9</v>
      </c>
      <c r="K1156" s="1">
        <v>0</v>
      </c>
      <c r="L1156" s="2">
        <v>0</v>
      </c>
      <c r="M1156" s="1">
        <v>0</v>
      </c>
      <c r="N1156" s="1">
        <v>820</v>
      </c>
      <c r="O1156" s="1">
        <f t="shared" ref="O1156:O1157" si="616">N1156*7750</f>
        <v>6355000</v>
      </c>
      <c r="P1156" s="1">
        <v>0</v>
      </c>
      <c r="Q1156" s="1">
        <f t="shared" ref="Q1156" si="617">P1156*1400</f>
        <v>0</v>
      </c>
      <c r="R1156" s="1">
        <v>0</v>
      </c>
      <c r="S1156" s="1">
        <f t="shared" ref="S1156" si="618">R1156*3751</f>
        <v>0</v>
      </c>
      <c r="T1156" s="1">
        <v>0</v>
      </c>
      <c r="U1156" s="1">
        <v>50000</v>
      </c>
      <c r="V1156" s="1">
        <v>0</v>
      </c>
      <c r="W1156" s="1">
        <v>0</v>
      </c>
      <c r="X1156" s="1">
        <v>0</v>
      </c>
      <c r="Y1156" s="1">
        <v>0</v>
      </c>
      <c r="Z1156" s="1">
        <v>0</v>
      </c>
      <c r="AA1156" s="1">
        <v>0</v>
      </c>
      <c r="AB1156" s="1">
        <v>0</v>
      </c>
      <c r="AC1156" s="1">
        <v>0</v>
      </c>
      <c r="AD1156" s="1">
        <v>0</v>
      </c>
    </row>
    <row r="1157" spans="1:30" s="20" customFormat="1" ht="36" customHeight="1" x14ac:dyDescent="0.25">
      <c r="A1157" s="2">
        <f t="shared" si="577"/>
        <v>1121</v>
      </c>
      <c r="B1157" s="3">
        <f t="shared" si="609"/>
        <v>1121</v>
      </c>
      <c r="C1157" s="19" t="s">
        <v>2212</v>
      </c>
      <c r="D1157" s="4">
        <f t="shared" si="598"/>
        <v>6355000</v>
      </c>
      <c r="E1157" s="1">
        <f t="shared" si="610"/>
        <v>0</v>
      </c>
      <c r="F1157" s="1">
        <v>0</v>
      </c>
      <c r="G1157" s="1">
        <v>0</v>
      </c>
      <c r="H1157" s="1">
        <v>0</v>
      </c>
      <c r="I1157" s="1">
        <v>0</v>
      </c>
      <c r="J1157" s="1">
        <v>0</v>
      </c>
      <c r="K1157" s="1">
        <v>0</v>
      </c>
      <c r="L1157" s="2">
        <v>0</v>
      </c>
      <c r="M1157" s="1">
        <v>0</v>
      </c>
      <c r="N1157" s="1">
        <v>820</v>
      </c>
      <c r="O1157" s="1">
        <f t="shared" si="616"/>
        <v>6355000</v>
      </c>
      <c r="P1157" s="1">
        <v>0</v>
      </c>
      <c r="Q1157" s="1">
        <f t="shared" si="612"/>
        <v>0</v>
      </c>
      <c r="R1157" s="1">
        <v>0</v>
      </c>
      <c r="S1157" s="1">
        <f t="shared" si="613"/>
        <v>0</v>
      </c>
      <c r="T1157" s="1">
        <v>0</v>
      </c>
      <c r="U1157" s="1">
        <v>0</v>
      </c>
      <c r="V1157" s="1">
        <v>0</v>
      </c>
      <c r="W1157" s="1">
        <v>0</v>
      </c>
      <c r="X1157" s="1">
        <v>0</v>
      </c>
      <c r="Y1157" s="1">
        <v>0</v>
      </c>
      <c r="Z1157" s="1">
        <v>0</v>
      </c>
      <c r="AA1157" s="1">
        <v>0</v>
      </c>
      <c r="AB1157" s="1">
        <v>0</v>
      </c>
      <c r="AC1157" s="1">
        <v>0</v>
      </c>
      <c r="AD1157" s="1">
        <v>0</v>
      </c>
    </row>
    <row r="1158" spans="1:30" s="20" customFormat="1" ht="36" customHeight="1" x14ac:dyDescent="0.25">
      <c r="A1158" s="2">
        <f t="shared" si="577"/>
        <v>1122</v>
      </c>
      <c r="B1158" s="6">
        <f>A1158</f>
        <v>1122</v>
      </c>
      <c r="C1158" s="19" t="s">
        <v>1714</v>
      </c>
      <c r="D1158" s="4">
        <f t="shared" si="598"/>
        <v>7200000</v>
      </c>
      <c r="E1158" s="1">
        <f>SUM(F1158:K1158)</f>
        <v>0</v>
      </c>
      <c r="F1158" s="1">
        <v>0</v>
      </c>
      <c r="G1158" s="1">
        <v>0</v>
      </c>
      <c r="H1158" s="1">
        <v>0</v>
      </c>
      <c r="I1158" s="1">
        <v>0</v>
      </c>
      <c r="J1158" s="1">
        <v>0</v>
      </c>
      <c r="K1158" s="1">
        <v>0</v>
      </c>
      <c r="L1158" s="2">
        <v>2</v>
      </c>
      <c r="M1158" s="1">
        <f>L1158*3500000</f>
        <v>7000000</v>
      </c>
      <c r="N1158" s="1">
        <v>0</v>
      </c>
      <c r="O1158" s="1">
        <v>0</v>
      </c>
      <c r="P1158" s="1">
        <v>0</v>
      </c>
      <c r="Q1158" s="1">
        <f>P1158*1400</f>
        <v>0</v>
      </c>
      <c r="R1158" s="1">
        <v>0</v>
      </c>
      <c r="S1158" s="1">
        <f>R1158*3751</f>
        <v>0</v>
      </c>
      <c r="T1158" s="1">
        <v>0</v>
      </c>
      <c r="U1158" s="1">
        <v>200000</v>
      </c>
      <c r="V1158" s="1">
        <v>0</v>
      </c>
      <c r="W1158" s="1">
        <v>0</v>
      </c>
      <c r="X1158" s="1">
        <v>0</v>
      </c>
      <c r="Y1158" s="1">
        <v>0</v>
      </c>
      <c r="Z1158" s="1">
        <v>0</v>
      </c>
      <c r="AA1158" s="1">
        <v>0</v>
      </c>
      <c r="AB1158" s="1">
        <v>0</v>
      </c>
      <c r="AC1158" s="1">
        <v>0</v>
      </c>
      <c r="AD1158" s="1">
        <v>0</v>
      </c>
    </row>
    <row r="1159" spans="1:30" s="20" customFormat="1" ht="36" customHeight="1" x14ac:dyDescent="0.25">
      <c r="A1159" s="2">
        <f t="shared" si="577"/>
        <v>1123</v>
      </c>
      <c r="B1159" s="6">
        <f>A1159</f>
        <v>1123</v>
      </c>
      <c r="C1159" s="19" t="s">
        <v>1713</v>
      </c>
      <c r="D1159" s="4">
        <f t="shared" si="598"/>
        <v>7200000</v>
      </c>
      <c r="E1159" s="1">
        <f>SUM(F1159:K1159)</f>
        <v>0</v>
      </c>
      <c r="F1159" s="1">
        <v>0</v>
      </c>
      <c r="G1159" s="1">
        <v>0</v>
      </c>
      <c r="H1159" s="1">
        <v>0</v>
      </c>
      <c r="I1159" s="1">
        <v>0</v>
      </c>
      <c r="J1159" s="1">
        <v>0</v>
      </c>
      <c r="K1159" s="1">
        <v>0</v>
      </c>
      <c r="L1159" s="2">
        <v>2</v>
      </c>
      <c r="M1159" s="1">
        <f>L1159*3500000</f>
        <v>7000000</v>
      </c>
      <c r="N1159" s="1">
        <v>0</v>
      </c>
      <c r="O1159" s="1">
        <v>0</v>
      </c>
      <c r="P1159" s="1">
        <v>0</v>
      </c>
      <c r="Q1159" s="1">
        <f>P1159*1400</f>
        <v>0</v>
      </c>
      <c r="R1159" s="1">
        <v>0</v>
      </c>
      <c r="S1159" s="1">
        <f>R1159*3751</f>
        <v>0</v>
      </c>
      <c r="T1159" s="1">
        <v>0</v>
      </c>
      <c r="U1159" s="1">
        <v>200000</v>
      </c>
      <c r="V1159" s="1">
        <v>0</v>
      </c>
      <c r="W1159" s="1">
        <v>0</v>
      </c>
      <c r="X1159" s="1">
        <v>0</v>
      </c>
      <c r="Y1159" s="1">
        <v>0</v>
      </c>
      <c r="Z1159" s="1">
        <v>0</v>
      </c>
      <c r="AA1159" s="1">
        <v>0</v>
      </c>
      <c r="AB1159" s="1">
        <v>0</v>
      </c>
      <c r="AC1159" s="1">
        <v>0</v>
      </c>
      <c r="AD1159" s="1">
        <v>0</v>
      </c>
    </row>
    <row r="1160" spans="1:30" s="20" customFormat="1" ht="36" customHeight="1" x14ac:dyDescent="0.25">
      <c r="A1160" s="2">
        <f t="shared" si="577"/>
        <v>1124</v>
      </c>
      <c r="B1160" s="3">
        <f t="shared" ref="B1160" si="619">A1160</f>
        <v>1124</v>
      </c>
      <c r="C1160" s="19" t="s">
        <v>2213</v>
      </c>
      <c r="D1160" s="4">
        <f t="shared" si="598"/>
        <v>3875000</v>
      </c>
      <c r="E1160" s="1">
        <f t="shared" ref="E1160" si="620">SUM(F1160:K1160)</f>
        <v>0</v>
      </c>
      <c r="F1160" s="1">
        <v>0</v>
      </c>
      <c r="G1160" s="1">
        <v>0</v>
      </c>
      <c r="H1160" s="1">
        <v>0</v>
      </c>
      <c r="I1160" s="1">
        <v>0</v>
      </c>
      <c r="J1160" s="1">
        <v>0</v>
      </c>
      <c r="K1160" s="1">
        <v>0</v>
      </c>
      <c r="L1160" s="2">
        <v>0</v>
      </c>
      <c r="M1160" s="1">
        <v>0</v>
      </c>
      <c r="N1160" s="1">
        <v>500</v>
      </c>
      <c r="O1160" s="1">
        <f>N1160*7750</f>
        <v>3875000</v>
      </c>
      <c r="P1160" s="1">
        <v>0</v>
      </c>
      <c r="Q1160" s="1">
        <f t="shared" ref="Q1160" si="621">P1160*1400</f>
        <v>0</v>
      </c>
      <c r="R1160" s="1">
        <v>0</v>
      </c>
      <c r="S1160" s="1">
        <f t="shared" ref="S1160" si="622">R1160*3751</f>
        <v>0</v>
      </c>
      <c r="T1160" s="1">
        <v>0</v>
      </c>
      <c r="U1160" s="1">
        <v>0</v>
      </c>
      <c r="V1160" s="1">
        <v>0</v>
      </c>
      <c r="W1160" s="1">
        <v>0</v>
      </c>
      <c r="X1160" s="1">
        <v>0</v>
      </c>
      <c r="Y1160" s="1">
        <v>0</v>
      </c>
      <c r="Z1160" s="1">
        <v>0</v>
      </c>
      <c r="AA1160" s="1">
        <v>0</v>
      </c>
      <c r="AB1160" s="1">
        <v>0</v>
      </c>
      <c r="AC1160" s="1">
        <v>0</v>
      </c>
      <c r="AD1160" s="1">
        <v>0</v>
      </c>
    </row>
    <row r="1161" spans="1:30" s="20" customFormat="1" ht="36" customHeight="1" x14ac:dyDescent="0.25">
      <c r="A1161" s="2">
        <f t="shared" si="577"/>
        <v>1125</v>
      </c>
      <c r="B1161" s="3">
        <f t="shared" ref="B1161" si="623">A1161</f>
        <v>1125</v>
      </c>
      <c r="C1161" s="19" t="s">
        <v>2214</v>
      </c>
      <c r="D1161" s="4">
        <f t="shared" ref="D1161:D1184" si="624">E1161+M1161+O1161+Q1161+S1161+T1161+U1161+V1161+W1161+X1161+Z1161+AA1161+AB1161+AC1161+AD1161</f>
        <v>3875000</v>
      </c>
      <c r="E1161" s="1">
        <f t="shared" ref="E1161" si="625">SUM(F1161:K1161)</f>
        <v>0</v>
      </c>
      <c r="F1161" s="1">
        <v>0</v>
      </c>
      <c r="G1161" s="1">
        <v>0</v>
      </c>
      <c r="H1161" s="1">
        <v>0</v>
      </c>
      <c r="I1161" s="1">
        <v>0</v>
      </c>
      <c r="J1161" s="1">
        <v>0</v>
      </c>
      <c r="K1161" s="1">
        <v>0</v>
      </c>
      <c r="L1161" s="2">
        <v>0</v>
      </c>
      <c r="M1161" s="1">
        <v>0</v>
      </c>
      <c r="N1161" s="1">
        <v>500</v>
      </c>
      <c r="O1161" s="1">
        <f>N1161*7750</f>
        <v>3875000</v>
      </c>
      <c r="P1161" s="1">
        <v>0</v>
      </c>
      <c r="Q1161" s="1">
        <f t="shared" ref="Q1161" si="626">P1161*1400</f>
        <v>0</v>
      </c>
      <c r="R1161" s="1">
        <v>0</v>
      </c>
      <c r="S1161" s="1">
        <f t="shared" ref="S1161" si="627">R1161*3751</f>
        <v>0</v>
      </c>
      <c r="T1161" s="1">
        <v>0</v>
      </c>
      <c r="U1161" s="1">
        <v>0</v>
      </c>
      <c r="V1161" s="1">
        <v>0</v>
      </c>
      <c r="W1161" s="1">
        <v>0</v>
      </c>
      <c r="X1161" s="1">
        <v>0</v>
      </c>
      <c r="Y1161" s="1">
        <v>0</v>
      </c>
      <c r="Z1161" s="1">
        <v>0</v>
      </c>
      <c r="AA1161" s="1">
        <v>0</v>
      </c>
      <c r="AB1161" s="1">
        <v>0</v>
      </c>
      <c r="AC1161" s="1">
        <v>0</v>
      </c>
      <c r="AD1161" s="1">
        <v>0</v>
      </c>
    </row>
    <row r="1162" spans="1:30" s="20" customFormat="1" ht="36" customHeight="1" x14ac:dyDescent="0.25">
      <c r="A1162" s="2">
        <f t="shared" si="577"/>
        <v>1126</v>
      </c>
      <c r="B1162" s="6">
        <f t="shared" si="608"/>
        <v>1126</v>
      </c>
      <c r="C1162" s="19" t="s">
        <v>626</v>
      </c>
      <c r="D1162" s="4">
        <f t="shared" si="624"/>
        <v>3203374</v>
      </c>
      <c r="E1162" s="1">
        <f t="shared" si="604"/>
        <v>1277874</v>
      </c>
      <c r="F1162" s="1">
        <f>804*381</f>
        <v>306324</v>
      </c>
      <c r="G1162" s="1">
        <f>1693*381</f>
        <v>645033</v>
      </c>
      <c r="H1162" s="1">
        <f>390*381</f>
        <v>148590</v>
      </c>
      <c r="I1162" s="1">
        <v>0</v>
      </c>
      <c r="J1162" s="1">
        <f>467*381</f>
        <v>177927</v>
      </c>
      <c r="K1162" s="1">
        <v>0</v>
      </c>
      <c r="L1162" s="2">
        <v>0</v>
      </c>
      <c r="M1162" s="1">
        <f t="shared" si="605"/>
        <v>0</v>
      </c>
      <c r="N1162" s="1">
        <v>0</v>
      </c>
      <c r="O1162" s="1">
        <v>0</v>
      </c>
      <c r="P1162" s="1">
        <v>0</v>
      </c>
      <c r="Q1162" s="1">
        <f t="shared" si="606"/>
        <v>0</v>
      </c>
      <c r="R1162" s="1">
        <v>500</v>
      </c>
      <c r="S1162" s="1">
        <f t="shared" si="607"/>
        <v>1875500</v>
      </c>
      <c r="T1162" s="1">
        <v>0</v>
      </c>
      <c r="U1162" s="1">
        <v>50000</v>
      </c>
      <c r="V1162" s="1">
        <v>0</v>
      </c>
      <c r="W1162" s="1">
        <v>0</v>
      </c>
      <c r="X1162" s="1">
        <v>0</v>
      </c>
      <c r="Y1162" s="1">
        <v>0</v>
      </c>
      <c r="Z1162" s="1">
        <v>0</v>
      </c>
      <c r="AA1162" s="1">
        <v>0</v>
      </c>
      <c r="AB1162" s="1">
        <v>0</v>
      </c>
      <c r="AC1162" s="1">
        <v>0</v>
      </c>
      <c r="AD1162" s="1">
        <v>0</v>
      </c>
    </row>
    <row r="1163" spans="1:30" s="20" customFormat="1" ht="36" customHeight="1" x14ac:dyDescent="0.25">
      <c r="A1163" s="2">
        <f t="shared" si="577"/>
        <v>1127</v>
      </c>
      <c r="B1163" s="6">
        <f t="shared" si="608"/>
        <v>1127</v>
      </c>
      <c r="C1163" s="19" t="s">
        <v>627</v>
      </c>
      <c r="D1163" s="4">
        <f t="shared" si="624"/>
        <v>3216119.2</v>
      </c>
      <c r="E1163" s="1">
        <f t="shared" si="604"/>
        <v>1290619.2000000002</v>
      </c>
      <c r="F1163" s="1">
        <f>804*384.8</f>
        <v>309379.20000000001</v>
      </c>
      <c r="G1163" s="1">
        <f>1693*384.8</f>
        <v>651466.4</v>
      </c>
      <c r="H1163" s="1">
        <f>390*384.8</f>
        <v>150072</v>
      </c>
      <c r="I1163" s="1">
        <v>0</v>
      </c>
      <c r="J1163" s="1">
        <f>467*384.8</f>
        <v>179701.6</v>
      </c>
      <c r="K1163" s="1">
        <v>0</v>
      </c>
      <c r="L1163" s="2">
        <v>0</v>
      </c>
      <c r="M1163" s="1">
        <f t="shared" si="605"/>
        <v>0</v>
      </c>
      <c r="N1163" s="1">
        <v>0</v>
      </c>
      <c r="O1163" s="1">
        <v>0</v>
      </c>
      <c r="P1163" s="1">
        <v>0</v>
      </c>
      <c r="Q1163" s="1">
        <f t="shared" si="606"/>
        <v>0</v>
      </c>
      <c r="R1163" s="1">
        <v>500</v>
      </c>
      <c r="S1163" s="1">
        <f t="shared" si="607"/>
        <v>1875500</v>
      </c>
      <c r="T1163" s="1">
        <v>0</v>
      </c>
      <c r="U1163" s="1">
        <v>50000</v>
      </c>
      <c r="V1163" s="1">
        <v>0</v>
      </c>
      <c r="W1163" s="1">
        <v>0</v>
      </c>
      <c r="X1163" s="1">
        <v>0</v>
      </c>
      <c r="Y1163" s="1">
        <v>0</v>
      </c>
      <c r="Z1163" s="1">
        <v>0</v>
      </c>
      <c r="AA1163" s="1">
        <v>0</v>
      </c>
      <c r="AB1163" s="1">
        <v>0</v>
      </c>
      <c r="AC1163" s="1">
        <v>0</v>
      </c>
      <c r="AD1163" s="1">
        <v>0</v>
      </c>
    </row>
    <row r="1164" spans="1:30" s="20" customFormat="1" ht="36" customHeight="1" x14ac:dyDescent="0.25">
      <c r="A1164" s="2">
        <f t="shared" ref="A1164:A1184" si="628">ROW()-ROW($A$11)-25</f>
        <v>1128</v>
      </c>
      <c r="B1164" s="6">
        <f>A1164</f>
        <v>1128</v>
      </c>
      <c r="C1164" s="19" t="s">
        <v>629</v>
      </c>
      <c r="D1164" s="4">
        <f t="shared" si="624"/>
        <v>4720224.4000000004</v>
      </c>
      <c r="E1164" s="1">
        <f t="shared" si="604"/>
        <v>1417995.7000000002</v>
      </c>
      <c r="F1164" s="1">
        <f>804*853.7</f>
        <v>686374.8</v>
      </c>
      <c r="G1164" s="1">
        <v>0</v>
      </c>
      <c r="H1164" s="1">
        <f>390*853.7</f>
        <v>332943</v>
      </c>
      <c r="I1164" s="1">
        <v>0</v>
      </c>
      <c r="J1164" s="1">
        <f>467*853.7</f>
        <v>398677.9</v>
      </c>
      <c r="K1164" s="1">
        <v>0</v>
      </c>
      <c r="L1164" s="2">
        <v>0</v>
      </c>
      <c r="M1164" s="1">
        <f t="shared" si="605"/>
        <v>0</v>
      </c>
      <c r="N1164" s="1">
        <v>0</v>
      </c>
      <c r="O1164" s="1">
        <v>0</v>
      </c>
      <c r="P1164" s="1">
        <v>0</v>
      </c>
      <c r="Q1164" s="1">
        <f t="shared" si="606"/>
        <v>0</v>
      </c>
      <c r="R1164" s="1">
        <v>853.7</v>
      </c>
      <c r="S1164" s="1">
        <f t="shared" si="607"/>
        <v>3202228.7</v>
      </c>
      <c r="T1164" s="1">
        <v>0</v>
      </c>
      <c r="U1164" s="1">
        <v>50000</v>
      </c>
      <c r="V1164" s="1">
        <v>0</v>
      </c>
      <c r="W1164" s="1">
        <v>50000</v>
      </c>
      <c r="X1164" s="1">
        <v>0</v>
      </c>
      <c r="Y1164" s="1">
        <v>0</v>
      </c>
      <c r="Z1164" s="1">
        <v>0</v>
      </c>
      <c r="AA1164" s="1">
        <v>0</v>
      </c>
      <c r="AB1164" s="1">
        <v>0</v>
      </c>
      <c r="AC1164" s="1">
        <v>0</v>
      </c>
      <c r="AD1164" s="1">
        <v>0</v>
      </c>
    </row>
    <row r="1165" spans="1:30" s="20" customFormat="1" ht="36" customHeight="1" x14ac:dyDescent="0.25">
      <c r="A1165" s="2">
        <f t="shared" si="628"/>
        <v>1129</v>
      </c>
      <c r="B1165" s="6">
        <f>A1165</f>
        <v>1129</v>
      </c>
      <c r="C1165" s="19" t="s">
        <v>1144</v>
      </c>
      <c r="D1165" s="4">
        <f t="shared" si="624"/>
        <v>12687080</v>
      </c>
      <c r="E1165" s="1">
        <f>SUM(F1165:K1165)</f>
        <v>9961380</v>
      </c>
      <c r="F1165" s="1">
        <f>804*2970</f>
        <v>2387880</v>
      </c>
      <c r="G1165" s="1">
        <f>1693*2970</f>
        <v>5028210</v>
      </c>
      <c r="H1165" s="1">
        <f>390*2970</f>
        <v>1158300</v>
      </c>
      <c r="I1165" s="1">
        <v>0</v>
      </c>
      <c r="J1165" s="1">
        <f>467*2970</f>
        <v>1386990</v>
      </c>
      <c r="K1165" s="1">
        <v>0</v>
      </c>
      <c r="L1165" s="2">
        <v>0</v>
      </c>
      <c r="M1165" s="1">
        <v>0</v>
      </c>
      <c r="N1165" s="1">
        <v>0</v>
      </c>
      <c r="O1165" s="1">
        <v>0</v>
      </c>
      <c r="P1165" s="1">
        <v>0</v>
      </c>
      <c r="Q1165" s="1">
        <f>P1165*1400</f>
        <v>0</v>
      </c>
      <c r="R1165" s="1">
        <v>700</v>
      </c>
      <c r="S1165" s="1">
        <f>R1165*3751</f>
        <v>2625700</v>
      </c>
      <c r="T1165" s="1">
        <v>0</v>
      </c>
      <c r="U1165" s="1">
        <v>50000</v>
      </c>
      <c r="V1165" s="1">
        <v>0</v>
      </c>
      <c r="W1165" s="1">
        <v>50000</v>
      </c>
      <c r="X1165" s="1">
        <v>0</v>
      </c>
      <c r="Y1165" s="1">
        <v>0</v>
      </c>
      <c r="Z1165" s="1">
        <v>0</v>
      </c>
      <c r="AA1165" s="1">
        <v>0</v>
      </c>
      <c r="AB1165" s="1">
        <v>0</v>
      </c>
      <c r="AC1165" s="1">
        <v>0</v>
      </c>
      <c r="AD1165" s="1">
        <v>0</v>
      </c>
    </row>
    <row r="1166" spans="1:30" s="20" customFormat="1" ht="36" customHeight="1" x14ac:dyDescent="0.25">
      <c r="A1166" s="2">
        <f t="shared" si="628"/>
        <v>1130</v>
      </c>
      <c r="B1166" s="6">
        <f t="shared" ref="B1166" si="629">A1166</f>
        <v>1130</v>
      </c>
      <c r="C1166" s="19" t="s">
        <v>2215</v>
      </c>
      <c r="D1166" s="4">
        <f t="shared" si="624"/>
        <v>8250209</v>
      </c>
      <c r="E1166" s="1">
        <f t="shared" ref="E1166" si="630">SUM(F1166:K1166)</f>
        <v>3550209</v>
      </c>
      <c r="F1166" s="1">
        <f>804*1058.5</f>
        <v>851034</v>
      </c>
      <c r="G1166" s="1">
        <f>1693*1058.5</f>
        <v>1792040.5</v>
      </c>
      <c r="H1166" s="1">
        <f>390*1058.5</f>
        <v>412815</v>
      </c>
      <c r="I1166" s="1">
        <v>0</v>
      </c>
      <c r="J1166" s="1">
        <f>467*1058.5</f>
        <v>494319.5</v>
      </c>
      <c r="K1166" s="1">
        <v>0</v>
      </c>
      <c r="L1166" s="2">
        <v>0</v>
      </c>
      <c r="M1166" s="1">
        <f t="shared" ref="M1166" si="631">L1166*3500000</f>
        <v>0</v>
      </c>
      <c r="N1166" s="1">
        <v>600</v>
      </c>
      <c r="O1166" s="1">
        <f>N1166*7750</f>
        <v>4650000</v>
      </c>
      <c r="P1166" s="1">
        <v>0</v>
      </c>
      <c r="Q1166" s="1">
        <f t="shared" ref="Q1166" si="632">P1166*1400</f>
        <v>0</v>
      </c>
      <c r="R1166" s="1">
        <v>0</v>
      </c>
      <c r="S1166" s="1">
        <f t="shared" ref="S1166" si="633">R1166*3751</f>
        <v>0</v>
      </c>
      <c r="T1166" s="1">
        <v>0</v>
      </c>
      <c r="U1166" s="1">
        <v>50000</v>
      </c>
      <c r="V1166" s="1">
        <v>0</v>
      </c>
      <c r="W1166" s="1">
        <v>0</v>
      </c>
      <c r="X1166" s="1">
        <v>0</v>
      </c>
      <c r="Y1166" s="1">
        <v>0</v>
      </c>
      <c r="Z1166" s="1">
        <v>0</v>
      </c>
      <c r="AA1166" s="1">
        <v>0</v>
      </c>
      <c r="AB1166" s="1">
        <v>0</v>
      </c>
      <c r="AC1166" s="1">
        <v>0</v>
      </c>
      <c r="AD1166" s="1">
        <v>0</v>
      </c>
    </row>
    <row r="1167" spans="1:30" s="20" customFormat="1" ht="36" customHeight="1" x14ac:dyDescent="0.25">
      <c r="A1167" s="2">
        <f t="shared" si="628"/>
        <v>1131</v>
      </c>
      <c r="B1167" s="6">
        <f t="shared" ref="B1167:B1170" si="634">A1167</f>
        <v>1131</v>
      </c>
      <c r="C1167" s="19" t="s">
        <v>2216</v>
      </c>
      <c r="D1167" s="4">
        <f t="shared" si="624"/>
        <v>15579748.399999999</v>
      </c>
      <c r="E1167" s="1">
        <f t="shared" ref="E1167:E1170" si="635">SUM(F1167:K1167)</f>
        <v>9507248.3999999985</v>
      </c>
      <c r="F1167" s="1">
        <f>804*2834.6</f>
        <v>2279018.4</v>
      </c>
      <c r="G1167" s="1">
        <f>1693*2834.6</f>
        <v>4798977.8</v>
      </c>
      <c r="H1167" s="1">
        <f>390*2834.6</f>
        <v>1105494</v>
      </c>
      <c r="I1167" s="1">
        <v>0</v>
      </c>
      <c r="J1167" s="1">
        <f>467*2834.6</f>
        <v>1323758.2</v>
      </c>
      <c r="K1167" s="1">
        <v>0</v>
      </c>
      <c r="L1167" s="2">
        <v>0</v>
      </c>
      <c r="M1167" s="1">
        <f t="shared" ref="M1167" si="636">L1167*3500000</f>
        <v>0</v>
      </c>
      <c r="N1167" s="1">
        <v>750</v>
      </c>
      <c r="O1167" s="1">
        <f>N1167*7750</f>
        <v>5812500</v>
      </c>
      <c r="P1167" s="1">
        <v>150</v>
      </c>
      <c r="Q1167" s="1">
        <f t="shared" ref="Q1167:Q1170" si="637">P1167*1400</f>
        <v>210000</v>
      </c>
      <c r="R1167" s="1">
        <v>0</v>
      </c>
      <c r="S1167" s="1">
        <f t="shared" ref="S1167:S1170" si="638">R1167*3751</f>
        <v>0</v>
      </c>
      <c r="T1167" s="1">
        <v>0</v>
      </c>
      <c r="U1167" s="1">
        <v>50000</v>
      </c>
      <c r="V1167" s="1">
        <v>0</v>
      </c>
      <c r="W1167" s="1">
        <v>0</v>
      </c>
      <c r="X1167" s="1">
        <v>0</v>
      </c>
      <c r="Y1167" s="1">
        <v>0</v>
      </c>
      <c r="Z1167" s="1">
        <v>0</v>
      </c>
      <c r="AA1167" s="1">
        <v>0</v>
      </c>
      <c r="AB1167" s="1">
        <v>0</v>
      </c>
      <c r="AC1167" s="1">
        <v>0</v>
      </c>
      <c r="AD1167" s="1">
        <v>0</v>
      </c>
    </row>
    <row r="1168" spans="1:30" s="20" customFormat="1" ht="36" customHeight="1" x14ac:dyDescent="0.25">
      <c r="A1168" s="2">
        <f t="shared" si="628"/>
        <v>1132</v>
      </c>
      <c r="B1168" s="6">
        <f>A1168</f>
        <v>1132</v>
      </c>
      <c r="C1168" s="19" t="s">
        <v>2420</v>
      </c>
      <c r="D1168" s="4">
        <f t="shared" si="624"/>
        <v>10700000</v>
      </c>
      <c r="E1168" s="1">
        <f>SUM(F1168:K1168)</f>
        <v>0</v>
      </c>
      <c r="F1168" s="1">
        <v>0</v>
      </c>
      <c r="G1168" s="1">
        <v>0</v>
      </c>
      <c r="H1168" s="1">
        <v>0</v>
      </c>
      <c r="I1168" s="1">
        <v>0</v>
      </c>
      <c r="J1168" s="1">
        <v>0</v>
      </c>
      <c r="K1168" s="1">
        <v>0</v>
      </c>
      <c r="L1168" s="2">
        <v>3</v>
      </c>
      <c r="M1168" s="1">
        <f>L1168*3500000</f>
        <v>10500000</v>
      </c>
      <c r="N1168" s="1">
        <v>0</v>
      </c>
      <c r="O1168" s="1">
        <v>0</v>
      </c>
      <c r="P1168" s="1">
        <v>0</v>
      </c>
      <c r="Q1168" s="1">
        <f>P1168*1400</f>
        <v>0</v>
      </c>
      <c r="R1168" s="1">
        <v>0</v>
      </c>
      <c r="S1168" s="1">
        <f>R1168*3751</f>
        <v>0</v>
      </c>
      <c r="T1168" s="1">
        <v>0</v>
      </c>
      <c r="U1168" s="1">
        <v>200000</v>
      </c>
      <c r="V1168" s="1">
        <v>0</v>
      </c>
      <c r="W1168" s="1">
        <v>0</v>
      </c>
      <c r="X1168" s="1">
        <v>0</v>
      </c>
      <c r="Y1168" s="1">
        <v>0</v>
      </c>
      <c r="Z1168" s="1">
        <v>0</v>
      </c>
      <c r="AA1168" s="1">
        <v>0</v>
      </c>
      <c r="AB1168" s="1">
        <v>0</v>
      </c>
      <c r="AC1168" s="1">
        <v>0</v>
      </c>
      <c r="AD1168" s="1">
        <v>0</v>
      </c>
    </row>
    <row r="1169" spans="1:30" s="20" customFormat="1" ht="36" customHeight="1" x14ac:dyDescent="0.25">
      <c r="A1169" s="2">
        <f t="shared" si="628"/>
        <v>1133</v>
      </c>
      <c r="B1169" s="6">
        <f>A1169</f>
        <v>1133</v>
      </c>
      <c r="C1169" s="19" t="s">
        <v>2421</v>
      </c>
      <c r="D1169" s="4">
        <f t="shared" si="624"/>
        <v>14200000</v>
      </c>
      <c r="E1169" s="1">
        <f>SUM(F1169:K1169)</f>
        <v>0</v>
      </c>
      <c r="F1169" s="1">
        <v>0</v>
      </c>
      <c r="G1169" s="1">
        <v>0</v>
      </c>
      <c r="H1169" s="1">
        <v>0</v>
      </c>
      <c r="I1169" s="1">
        <v>0</v>
      </c>
      <c r="J1169" s="1">
        <v>0</v>
      </c>
      <c r="K1169" s="1">
        <v>0</v>
      </c>
      <c r="L1169" s="2">
        <v>4</v>
      </c>
      <c r="M1169" s="1">
        <f>L1169*3500000</f>
        <v>14000000</v>
      </c>
      <c r="N1169" s="1">
        <v>0</v>
      </c>
      <c r="O1169" s="1">
        <v>0</v>
      </c>
      <c r="P1169" s="1">
        <v>0</v>
      </c>
      <c r="Q1169" s="1">
        <f>P1169*1400</f>
        <v>0</v>
      </c>
      <c r="R1169" s="1">
        <v>0</v>
      </c>
      <c r="S1169" s="1">
        <f>R1169*3751</f>
        <v>0</v>
      </c>
      <c r="T1169" s="1">
        <v>0</v>
      </c>
      <c r="U1169" s="1">
        <v>200000</v>
      </c>
      <c r="V1169" s="1">
        <v>0</v>
      </c>
      <c r="W1169" s="1">
        <v>0</v>
      </c>
      <c r="X1169" s="1">
        <v>0</v>
      </c>
      <c r="Y1169" s="1">
        <v>0</v>
      </c>
      <c r="Z1169" s="1">
        <v>0</v>
      </c>
      <c r="AA1169" s="1">
        <v>0</v>
      </c>
      <c r="AB1169" s="1">
        <v>0</v>
      </c>
      <c r="AC1169" s="1">
        <v>0</v>
      </c>
      <c r="AD1169" s="1">
        <v>0</v>
      </c>
    </row>
    <row r="1170" spans="1:30" s="20" customFormat="1" ht="36" customHeight="1" x14ac:dyDescent="0.25">
      <c r="A1170" s="2">
        <f t="shared" si="628"/>
        <v>1134</v>
      </c>
      <c r="B1170" s="3">
        <f t="shared" si="634"/>
        <v>1134</v>
      </c>
      <c r="C1170" s="19" t="s">
        <v>2218</v>
      </c>
      <c r="D1170" s="4">
        <f t="shared" si="624"/>
        <v>4185000</v>
      </c>
      <c r="E1170" s="1">
        <f t="shared" si="635"/>
        <v>0</v>
      </c>
      <c r="F1170" s="1">
        <v>0</v>
      </c>
      <c r="G1170" s="1">
        <v>0</v>
      </c>
      <c r="H1170" s="1">
        <v>0</v>
      </c>
      <c r="I1170" s="1">
        <v>0</v>
      </c>
      <c r="J1170" s="1">
        <v>0</v>
      </c>
      <c r="K1170" s="1">
        <v>0</v>
      </c>
      <c r="L1170" s="2">
        <v>0</v>
      </c>
      <c r="M1170" s="1">
        <v>0</v>
      </c>
      <c r="N1170" s="1">
        <v>540</v>
      </c>
      <c r="O1170" s="1">
        <f>N1170*7750</f>
        <v>4185000</v>
      </c>
      <c r="P1170" s="1">
        <v>0</v>
      </c>
      <c r="Q1170" s="1">
        <f t="shared" si="637"/>
        <v>0</v>
      </c>
      <c r="R1170" s="1">
        <v>0</v>
      </c>
      <c r="S1170" s="1">
        <f t="shared" si="638"/>
        <v>0</v>
      </c>
      <c r="T1170" s="1">
        <v>0</v>
      </c>
      <c r="U1170" s="1">
        <v>0</v>
      </c>
      <c r="V1170" s="1">
        <v>0</v>
      </c>
      <c r="W1170" s="1">
        <v>0</v>
      </c>
      <c r="X1170" s="1">
        <v>0</v>
      </c>
      <c r="Y1170" s="1">
        <v>0</v>
      </c>
      <c r="Z1170" s="1">
        <v>0</v>
      </c>
      <c r="AA1170" s="1">
        <v>0</v>
      </c>
      <c r="AB1170" s="1">
        <v>0</v>
      </c>
      <c r="AC1170" s="1">
        <v>0</v>
      </c>
      <c r="AD1170" s="1">
        <v>0</v>
      </c>
    </row>
    <row r="1171" spans="1:30" s="20" customFormat="1" ht="36" customHeight="1" x14ac:dyDescent="0.25">
      <c r="A1171" s="2">
        <f t="shared" si="628"/>
        <v>1135</v>
      </c>
      <c r="B1171" s="6">
        <f t="shared" ref="B1171:B1183" si="639">A1171</f>
        <v>1135</v>
      </c>
      <c r="C1171" s="19" t="s">
        <v>2217</v>
      </c>
      <c r="D1171" s="4">
        <f t="shared" si="624"/>
        <v>12351188</v>
      </c>
      <c r="E1171" s="1">
        <f t="shared" ref="E1171:E1183" si="640">SUM(F1171:K1171)</f>
        <v>6278688</v>
      </c>
      <c r="F1171" s="1">
        <f>804*1872</f>
        <v>1505088</v>
      </c>
      <c r="G1171" s="1">
        <f>1693*1872</f>
        <v>3169296</v>
      </c>
      <c r="H1171" s="1">
        <f>390*1872</f>
        <v>730080</v>
      </c>
      <c r="I1171" s="1">
        <v>0</v>
      </c>
      <c r="J1171" s="1">
        <f>467*1872</f>
        <v>874224</v>
      </c>
      <c r="K1171" s="1">
        <v>0</v>
      </c>
      <c r="L1171" s="2">
        <v>0</v>
      </c>
      <c r="M1171" s="1">
        <f t="shared" ref="M1171" si="641">L1171*3500000</f>
        <v>0</v>
      </c>
      <c r="N1171" s="1">
        <v>750</v>
      </c>
      <c r="O1171" s="1">
        <f>N1171*7750</f>
        <v>5812500</v>
      </c>
      <c r="P1171" s="1">
        <v>150</v>
      </c>
      <c r="Q1171" s="1">
        <f t="shared" ref="Q1171:Q1183" si="642">P1171*1400</f>
        <v>210000</v>
      </c>
      <c r="R1171" s="1">
        <v>0</v>
      </c>
      <c r="S1171" s="1">
        <f t="shared" ref="S1171:S1183" si="643">R1171*3751</f>
        <v>0</v>
      </c>
      <c r="T1171" s="1">
        <v>0</v>
      </c>
      <c r="U1171" s="1">
        <v>50000</v>
      </c>
      <c r="V1171" s="1">
        <v>0</v>
      </c>
      <c r="W1171" s="1">
        <v>0</v>
      </c>
      <c r="X1171" s="1">
        <v>0</v>
      </c>
      <c r="Y1171" s="1">
        <v>0</v>
      </c>
      <c r="Z1171" s="1">
        <v>0</v>
      </c>
      <c r="AA1171" s="1">
        <v>0</v>
      </c>
      <c r="AB1171" s="1">
        <v>0</v>
      </c>
      <c r="AC1171" s="1">
        <v>0</v>
      </c>
      <c r="AD1171" s="1">
        <v>0</v>
      </c>
    </row>
    <row r="1172" spans="1:30" s="20" customFormat="1" ht="36" customHeight="1" x14ac:dyDescent="0.25">
      <c r="A1172" s="2">
        <f t="shared" si="628"/>
        <v>1136</v>
      </c>
      <c r="B1172" s="3">
        <f t="shared" ref="B1172" si="644">A1172</f>
        <v>1136</v>
      </c>
      <c r="C1172" s="19" t="s">
        <v>2219</v>
      </c>
      <c r="D1172" s="4">
        <f t="shared" si="624"/>
        <v>6458400</v>
      </c>
      <c r="E1172" s="1">
        <f t="shared" ref="E1172" si="645">SUM(F1172:K1172)</f>
        <v>0</v>
      </c>
      <c r="F1172" s="1">
        <v>0</v>
      </c>
      <c r="G1172" s="1">
        <v>0</v>
      </c>
      <c r="H1172" s="1">
        <v>0</v>
      </c>
      <c r="I1172" s="1">
        <v>0</v>
      </c>
      <c r="J1172" s="1">
        <v>0</v>
      </c>
      <c r="K1172" s="1">
        <v>0</v>
      </c>
      <c r="L1172" s="2">
        <v>0</v>
      </c>
      <c r="M1172" s="1">
        <v>0</v>
      </c>
      <c r="N1172" s="1">
        <v>1300</v>
      </c>
      <c r="O1172" s="1">
        <f>N1172*4968</f>
        <v>6458400</v>
      </c>
      <c r="P1172" s="1">
        <v>0</v>
      </c>
      <c r="Q1172" s="1">
        <f t="shared" ref="Q1172" si="646">P1172*1400</f>
        <v>0</v>
      </c>
      <c r="R1172" s="1">
        <v>0</v>
      </c>
      <c r="S1172" s="1">
        <f t="shared" ref="S1172" si="647">R1172*3751</f>
        <v>0</v>
      </c>
      <c r="T1172" s="1">
        <v>0</v>
      </c>
      <c r="U1172" s="1">
        <v>0</v>
      </c>
      <c r="V1172" s="1">
        <v>0</v>
      </c>
      <c r="W1172" s="1">
        <v>0</v>
      </c>
      <c r="X1172" s="1">
        <v>0</v>
      </c>
      <c r="Y1172" s="1">
        <v>0</v>
      </c>
      <c r="Z1172" s="1">
        <v>0</v>
      </c>
      <c r="AA1172" s="1">
        <v>0</v>
      </c>
      <c r="AB1172" s="1">
        <v>0</v>
      </c>
      <c r="AC1172" s="1">
        <v>0</v>
      </c>
      <c r="AD1172" s="1">
        <v>0</v>
      </c>
    </row>
    <row r="1173" spans="1:30" s="20" customFormat="1" ht="36" customHeight="1" x14ac:dyDescent="0.25">
      <c r="A1173" s="2">
        <f t="shared" si="628"/>
        <v>1137</v>
      </c>
      <c r="B1173" s="6">
        <f>A1173</f>
        <v>1137</v>
      </c>
      <c r="C1173" s="19" t="s">
        <v>2422</v>
      </c>
      <c r="D1173" s="4">
        <f t="shared" si="624"/>
        <v>10700000</v>
      </c>
      <c r="E1173" s="1">
        <f>SUM(F1173:K1173)</f>
        <v>0</v>
      </c>
      <c r="F1173" s="1">
        <v>0</v>
      </c>
      <c r="G1173" s="1">
        <v>0</v>
      </c>
      <c r="H1173" s="1">
        <v>0</v>
      </c>
      <c r="I1173" s="1">
        <v>0</v>
      </c>
      <c r="J1173" s="1">
        <v>0</v>
      </c>
      <c r="K1173" s="1">
        <v>0</v>
      </c>
      <c r="L1173" s="2">
        <v>3</v>
      </c>
      <c r="M1173" s="1">
        <f>L1173*3500000</f>
        <v>10500000</v>
      </c>
      <c r="N1173" s="1">
        <v>0</v>
      </c>
      <c r="O1173" s="1">
        <v>0</v>
      </c>
      <c r="P1173" s="1">
        <v>0</v>
      </c>
      <c r="Q1173" s="1">
        <f>P1173*1400</f>
        <v>0</v>
      </c>
      <c r="R1173" s="1">
        <v>0</v>
      </c>
      <c r="S1173" s="1">
        <f>R1173*3751</f>
        <v>0</v>
      </c>
      <c r="T1173" s="1">
        <v>0</v>
      </c>
      <c r="U1173" s="1">
        <v>200000</v>
      </c>
      <c r="V1173" s="1">
        <v>0</v>
      </c>
      <c r="W1173" s="1">
        <v>0</v>
      </c>
      <c r="X1173" s="1">
        <v>0</v>
      </c>
      <c r="Y1173" s="1">
        <v>0</v>
      </c>
      <c r="Z1173" s="1">
        <v>0</v>
      </c>
      <c r="AA1173" s="1">
        <v>0</v>
      </c>
      <c r="AB1173" s="1">
        <v>0</v>
      </c>
      <c r="AC1173" s="1">
        <v>0</v>
      </c>
      <c r="AD1173" s="1">
        <v>0</v>
      </c>
    </row>
    <row r="1174" spans="1:30" s="20" customFormat="1" ht="36" customHeight="1" x14ac:dyDescent="0.25">
      <c r="A1174" s="2">
        <f t="shared" si="628"/>
        <v>1138</v>
      </c>
      <c r="B1174" s="3">
        <f t="shared" si="639"/>
        <v>1138</v>
      </c>
      <c r="C1174" s="19" t="s">
        <v>2220</v>
      </c>
      <c r="D1174" s="4">
        <f t="shared" si="624"/>
        <v>6771081.2000000002</v>
      </c>
      <c r="E1174" s="1">
        <f t="shared" si="640"/>
        <v>420331.19999999995</v>
      </c>
      <c r="F1174" s="1">
        <f>804*522.8</f>
        <v>420331.19999999995</v>
      </c>
      <c r="G1174" s="1">
        <v>0</v>
      </c>
      <c r="H1174" s="1">
        <v>0</v>
      </c>
      <c r="I1174" s="1">
        <v>0</v>
      </c>
      <c r="J1174" s="1">
        <v>0</v>
      </c>
      <c r="K1174" s="1">
        <v>0</v>
      </c>
      <c r="L1174" s="2">
        <v>0</v>
      </c>
      <c r="M1174" s="1">
        <v>0</v>
      </c>
      <c r="N1174" s="1">
        <v>450</v>
      </c>
      <c r="O1174" s="1">
        <f>N1174*7750</f>
        <v>3487500</v>
      </c>
      <c r="P1174" s="1">
        <v>0</v>
      </c>
      <c r="Q1174" s="1">
        <f t="shared" si="642"/>
        <v>0</v>
      </c>
      <c r="R1174" s="1">
        <v>750</v>
      </c>
      <c r="S1174" s="1">
        <f t="shared" si="643"/>
        <v>2813250</v>
      </c>
      <c r="T1174" s="1">
        <v>0</v>
      </c>
      <c r="U1174" s="1">
        <v>50000</v>
      </c>
      <c r="V1174" s="1">
        <v>0</v>
      </c>
      <c r="W1174" s="1">
        <v>0</v>
      </c>
      <c r="X1174" s="1">
        <v>0</v>
      </c>
      <c r="Y1174" s="1">
        <v>0</v>
      </c>
      <c r="Z1174" s="1">
        <v>0</v>
      </c>
      <c r="AA1174" s="1">
        <v>0</v>
      </c>
      <c r="AB1174" s="1">
        <v>0</v>
      </c>
      <c r="AC1174" s="1">
        <v>0</v>
      </c>
      <c r="AD1174" s="1">
        <v>0</v>
      </c>
    </row>
    <row r="1175" spans="1:30" s="20" customFormat="1" ht="36" customHeight="1" x14ac:dyDescent="0.25">
      <c r="A1175" s="2">
        <f t="shared" si="628"/>
        <v>1139</v>
      </c>
      <c r="B1175" s="6">
        <f t="shared" ref="B1175:B1182" si="648">A1175</f>
        <v>1139</v>
      </c>
      <c r="C1175" s="19" t="s">
        <v>2423</v>
      </c>
      <c r="D1175" s="4">
        <f t="shared" si="624"/>
        <v>7200000</v>
      </c>
      <c r="E1175" s="1">
        <f t="shared" ref="E1175:E1182" si="649">SUM(F1175:K1175)</f>
        <v>0</v>
      </c>
      <c r="F1175" s="1">
        <v>0</v>
      </c>
      <c r="G1175" s="1">
        <v>0</v>
      </c>
      <c r="H1175" s="1">
        <v>0</v>
      </c>
      <c r="I1175" s="1">
        <v>0</v>
      </c>
      <c r="J1175" s="1">
        <v>0</v>
      </c>
      <c r="K1175" s="1">
        <v>0</v>
      </c>
      <c r="L1175" s="2">
        <v>2</v>
      </c>
      <c r="M1175" s="1">
        <f t="shared" ref="M1175:M1182" si="650">L1175*3500000</f>
        <v>7000000</v>
      </c>
      <c r="N1175" s="1">
        <v>0</v>
      </c>
      <c r="O1175" s="1">
        <v>0</v>
      </c>
      <c r="P1175" s="1">
        <v>0</v>
      </c>
      <c r="Q1175" s="1">
        <f t="shared" ref="Q1175:Q1182" si="651">P1175*1400</f>
        <v>0</v>
      </c>
      <c r="R1175" s="1">
        <v>0</v>
      </c>
      <c r="S1175" s="1">
        <f t="shared" ref="S1175:S1182" si="652">R1175*3751</f>
        <v>0</v>
      </c>
      <c r="T1175" s="1">
        <v>0</v>
      </c>
      <c r="U1175" s="1">
        <v>200000</v>
      </c>
      <c r="V1175" s="1">
        <v>0</v>
      </c>
      <c r="W1175" s="1">
        <v>0</v>
      </c>
      <c r="X1175" s="1">
        <v>0</v>
      </c>
      <c r="Y1175" s="1">
        <v>0</v>
      </c>
      <c r="Z1175" s="1">
        <v>0</v>
      </c>
      <c r="AA1175" s="1">
        <v>0</v>
      </c>
      <c r="AB1175" s="1">
        <v>0</v>
      </c>
      <c r="AC1175" s="1">
        <v>0</v>
      </c>
      <c r="AD1175" s="1">
        <v>0</v>
      </c>
    </row>
    <row r="1176" spans="1:30" s="20" customFormat="1" ht="36" customHeight="1" x14ac:dyDescent="0.25">
      <c r="A1176" s="2">
        <f t="shared" si="628"/>
        <v>1140</v>
      </c>
      <c r="B1176" s="6">
        <f t="shared" si="648"/>
        <v>1140</v>
      </c>
      <c r="C1176" s="19" t="s">
        <v>2424</v>
      </c>
      <c r="D1176" s="4">
        <f t="shared" si="624"/>
        <v>7200000</v>
      </c>
      <c r="E1176" s="1">
        <f t="shared" si="649"/>
        <v>0</v>
      </c>
      <c r="F1176" s="1">
        <v>0</v>
      </c>
      <c r="G1176" s="1">
        <v>0</v>
      </c>
      <c r="H1176" s="1">
        <v>0</v>
      </c>
      <c r="I1176" s="1">
        <v>0</v>
      </c>
      <c r="J1176" s="1">
        <v>0</v>
      </c>
      <c r="K1176" s="1">
        <v>0</v>
      </c>
      <c r="L1176" s="2">
        <v>2</v>
      </c>
      <c r="M1176" s="1">
        <f t="shared" si="650"/>
        <v>7000000</v>
      </c>
      <c r="N1176" s="1">
        <v>0</v>
      </c>
      <c r="O1176" s="1">
        <v>0</v>
      </c>
      <c r="P1176" s="1">
        <v>0</v>
      </c>
      <c r="Q1176" s="1">
        <f t="shared" si="651"/>
        <v>0</v>
      </c>
      <c r="R1176" s="1">
        <v>0</v>
      </c>
      <c r="S1176" s="1">
        <f t="shared" si="652"/>
        <v>0</v>
      </c>
      <c r="T1176" s="1">
        <v>0</v>
      </c>
      <c r="U1176" s="1">
        <v>200000</v>
      </c>
      <c r="V1176" s="1">
        <v>0</v>
      </c>
      <c r="W1176" s="1">
        <v>0</v>
      </c>
      <c r="X1176" s="1">
        <v>0</v>
      </c>
      <c r="Y1176" s="1">
        <v>0</v>
      </c>
      <c r="Z1176" s="1">
        <v>0</v>
      </c>
      <c r="AA1176" s="1">
        <v>0</v>
      </c>
      <c r="AB1176" s="1">
        <v>0</v>
      </c>
      <c r="AC1176" s="1">
        <v>0</v>
      </c>
      <c r="AD1176" s="1">
        <v>0</v>
      </c>
    </row>
    <row r="1177" spans="1:30" s="20" customFormat="1" ht="36" customHeight="1" x14ac:dyDescent="0.25">
      <c r="A1177" s="2">
        <f t="shared" si="628"/>
        <v>1141</v>
      </c>
      <c r="B1177" s="6">
        <f t="shared" si="648"/>
        <v>1141</v>
      </c>
      <c r="C1177" s="19" t="s">
        <v>2425</v>
      </c>
      <c r="D1177" s="4">
        <f t="shared" si="624"/>
        <v>7200000</v>
      </c>
      <c r="E1177" s="1">
        <f t="shared" si="649"/>
        <v>0</v>
      </c>
      <c r="F1177" s="1">
        <v>0</v>
      </c>
      <c r="G1177" s="1">
        <v>0</v>
      </c>
      <c r="H1177" s="1">
        <v>0</v>
      </c>
      <c r="I1177" s="1">
        <v>0</v>
      </c>
      <c r="J1177" s="1">
        <v>0</v>
      </c>
      <c r="K1177" s="1">
        <v>0</v>
      </c>
      <c r="L1177" s="2">
        <v>2</v>
      </c>
      <c r="M1177" s="1">
        <f t="shared" si="650"/>
        <v>7000000</v>
      </c>
      <c r="N1177" s="1">
        <v>0</v>
      </c>
      <c r="O1177" s="1">
        <v>0</v>
      </c>
      <c r="P1177" s="1">
        <v>0</v>
      </c>
      <c r="Q1177" s="1">
        <f t="shared" si="651"/>
        <v>0</v>
      </c>
      <c r="R1177" s="1">
        <v>0</v>
      </c>
      <c r="S1177" s="1">
        <f t="shared" si="652"/>
        <v>0</v>
      </c>
      <c r="T1177" s="1">
        <v>0</v>
      </c>
      <c r="U1177" s="1">
        <v>200000</v>
      </c>
      <c r="V1177" s="1">
        <v>0</v>
      </c>
      <c r="W1177" s="1">
        <v>0</v>
      </c>
      <c r="X1177" s="1">
        <v>0</v>
      </c>
      <c r="Y1177" s="1">
        <v>0</v>
      </c>
      <c r="Z1177" s="1">
        <v>0</v>
      </c>
      <c r="AA1177" s="1">
        <v>0</v>
      </c>
      <c r="AB1177" s="1">
        <v>0</v>
      </c>
      <c r="AC1177" s="1">
        <v>0</v>
      </c>
      <c r="AD1177" s="1">
        <v>0</v>
      </c>
    </row>
    <row r="1178" spans="1:30" s="20" customFormat="1" ht="36" customHeight="1" x14ac:dyDescent="0.25">
      <c r="A1178" s="2">
        <f t="shared" si="628"/>
        <v>1142</v>
      </c>
      <c r="B1178" s="6">
        <f t="shared" si="648"/>
        <v>1142</v>
      </c>
      <c r="C1178" s="19" t="s">
        <v>2426</v>
      </c>
      <c r="D1178" s="4">
        <f t="shared" si="624"/>
        <v>7200000</v>
      </c>
      <c r="E1178" s="1">
        <f t="shared" si="649"/>
        <v>0</v>
      </c>
      <c r="F1178" s="1">
        <v>0</v>
      </c>
      <c r="G1178" s="1">
        <v>0</v>
      </c>
      <c r="H1178" s="1">
        <v>0</v>
      </c>
      <c r="I1178" s="1">
        <v>0</v>
      </c>
      <c r="J1178" s="1">
        <v>0</v>
      </c>
      <c r="K1178" s="1">
        <v>0</v>
      </c>
      <c r="L1178" s="2">
        <v>2</v>
      </c>
      <c r="M1178" s="1">
        <f t="shared" si="650"/>
        <v>7000000</v>
      </c>
      <c r="N1178" s="1">
        <v>0</v>
      </c>
      <c r="O1178" s="1">
        <v>0</v>
      </c>
      <c r="P1178" s="1">
        <v>0</v>
      </c>
      <c r="Q1178" s="1">
        <f t="shared" si="651"/>
        <v>0</v>
      </c>
      <c r="R1178" s="1">
        <v>0</v>
      </c>
      <c r="S1178" s="1">
        <f t="shared" si="652"/>
        <v>0</v>
      </c>
      <c r="T1178" s="1">
        <v>0</v>
      </c>
      <c r="U1178" s="1">
        <v>200000</v>
      </c>
      <c r="V1178" s="1">
        <v>0</v>
      </c>
      <c r="W1178" s="1">
        <v>0</v>
      </c>
      <c r="X1178" s="1">
        <v>0</v>
      </c>
      <c r="Y1178" s="1">
        <v>0</v>
      </c>
      <c r="Z1178" s="1">
        <v>0</v>
      </c>
      <c r="AA1178" s="1">
        <v>0</v>
      </c>
      <c r="AB1178" s="1">
        <v>0</v>
      </c>
      <c r="AC1178" s="1">
        <v>0</v>
      </c>
      <c r="AD1178" s="1">
        <v>0</v>
      </c>
    </row>
    <row r="1179" spans="1:30" s="20" customFormat="1" ht="36" customHeight="1" x14ac:dyDescent="0.25">
      <c r="A1179" s="2">
        <f t="shared" si="628"/>
        <v>1143</v>
      </c>
      <c r="B1179" s="6">
        <f t="shared" si="648"/>
        <v>1143</v>
      </c>
      <c r="C1179" s="19" t="s">
        <v>2427</v>
      </c>
      <c r="D1179" s="4">
        <f t="shared" si="624"/>
        <v>10700000</v>
      </c>
      <c r="E1179" s="1">
        <f t="shared" si="649"/>
        <v>0</v>
      </c>
      <c r="F1179" s="1">
        <v>0</v>
      </c>
      <c r="G1179" s="1">
        <v>0</v>
      </c>
      <c r="H1179" s="1">
        <v>0</v>
      </c>
      <c r="I1179" s="1">
        <v>0</v>
      </c>
      <c r="J1179" s="1">
        <v>0</v>
      </c>
      <c r="K1179" s="1">
        <v>0</v>
      </c>
      <c r="L1179" s="2">
        <v>3</v>
      </c>
      <c r="M1179" s="1">
        <f t="shared" si="650"/>
        <v>10500000</v>
      </c>
      <c r="N1179" s="1">
        <v>0</v>
      </c>
      <c r="O1179" s="1">
        <v>0</v>
      </c>
      <c r="P1179" s="1">
        <v>0</v>
      </c>
      <c r="Q1179" s="1">
        <f t="shared" si="651"/>
        <v>0</v>
      </c>
      <c r="R1179" s="1">
        <v>0</v>
      </c>
      <c r="S1179" s="1">
        <f t="shared" si="652"/>
        <v>0</v>
      </c>
      <c r="T1179" s="1">
        <v>0</v>
      </c>
      <c r="U1179" s="1">
        <v>200000</v>
      </c>
      <c r="V1179" s="1">
        <v>0</v>
      </c>
      <c r="W1179" s="1">
        <v>0</v>
      </c>
      <c r="X1179" s="1">
        <v>0</v>
      </c>
      <c r="Y1179" s="1">
        <v>0</v>
      </c>
      <c r="Z1179" s="1">
        <v>0</v>
      </c>
      <c r="AA1179" s="1">
        <v>0</v>
      </c>
      <c r="AB1179" s="1">
        <v>0</v>
      </c>
      <c r="AC1179" s="1">
        <v>0</v>
      </c>
      <c r="AD1179" s="1">
        <v>0</v>
      </c>
    </row>
    <row r="1180" spans="1:30" s="20" customFormat="1" ht="36" customHeight="1" x14ac:dyDescent="0.25">
      <c r="A1180" s="2">
        <f t="shared" si="628"/>
        <v>1144</v>
      </c>
      <c r="B1180" s="6">
        <f t="shared" si="648"/>
        <v>1144</v>
      </c>
      <c r="C1180" s="19" t="s">
        <v>2428</v>
      </c>
      <c r="D1180" s="4">
        <f t="shared" si="624"/>
        <v>7200000</v>
      </c>
      <c r="E1180" s="1">
        <f t="shared" si="649"/>
        <v>0</v>
      </c>
      <c r="F1180" s="1">
        <v>0</v>
      </c>
      <c r="G1180" s="1">
        <v>0</v>
      </c>
      <c r="H1180" s="1">
        <v>0</v>
      </c>
      <c r="I1180" s="1">
        <v>0</v>
      </c>
      <c r="J1180" s="1">
        <v>0</v>
      </c>
      <c r="K1180" s="1">
        <v>0</v>
      </c>
      <c r="L1180" s="2">
        <v>2</v>
      </c>
      <c r="M1180" s="1">
        <f t="shared" si="650"/>
        <v>7000000</v>
      </c>
      <c r="N1180" s="1">
        <v>0</v>
      </c>
      <c r="O1180" s="1">
        <v>0</v>
      </c>
      <c r="P1180" s="1">
        <v>0</v>
      </c>
      <c r="Q1180" s="1">
        <f t="shared" si="651"/>
        <v>0</v>
      </c>
      <c r="R1180" s="1">
        <v>0</v>
      </c>
      <c r="S1180" s="1">
        <f t="shared" si="652"/>
        <v>0</v>
      </c>
      <c r="T1180" s="1">
        <v>0</v>
      </c>
      <c r="U1180" s="1">
        <v>200000</v>
      </c>
      <c r="V1180" s="1">
        <v>0</v>
      </c>
      <c r="W1180" s="1">
        <v>0</v>
      </c>
      <c r="X1180" s="1">
        <v>0</v>
      </c>
      <c r="Y1180" s="1">
        <v>0</v>
      </c>
      <c r="Z1180" s="1">
        <v>0</v>
      </c>
      <c r="AA1180" s="1">
        <v>0</v>
      </c>
      <c r="AB1180" s="1">
        <v>0</v>
      </c>
      <c r="AC1180" s="1">
        <v>0</v>
      </c>
      <c r="AD1180" s="1">
        <v>0</v>
      </c>
    </row>
    <row r="1181" spans="1:30" s="20" customFormat="1" ht="36" customHeight="1" x14ac:dyDescent="0.25">
      <c r="A1181" s="2">
        <f t="shared" si="628"/>
        <v>1145</v>
      </c>
      <c r="B1181" s="6">
        <f t="shared" si="648"/>
        <v>1145</v>
      </c>
      <c r="C1181" s="19" t="s">
        <v>2429</v>
      </c>
      <c r="D1181" s="4">
        <f t="shared" si="624"/>
        <v>7200000</v>
      </c>
      <c r="E1181" s="1">
        <f t="shared" si="649"/>
        <v>0</v>
      </c>
      <c r="F1181" s="1">
        <v>0</v>
      </c>
      <c r="G1181" s="1">
        <v>0</v>
      </c>
      <c r="H1181" s="1">
        <v>0</v>
      </c>
      <c r="I1181" s="1">
        <v>0</v>
      </c>
      <c r="J1181" s="1">
        <v>0</v>
      </c>
      <c r="K1181" s="1">
        <v>0</v>
      </c>
      <c r="L1181" s="2">
        <v>2</v>
      </c>
      <c r="M1181" s="1">
        <f t="shared" si="650"/>
        <v>7000000</v>
      </c>
      <c r="N1181" s="1">
        <v>0</v>
      </c>
      <c r="O1181" s="1">
        <v>0</v>
      </c>
      <c r="P1181" s="1">
        <v>0</v>
      </c>
      <c r="Q1181" s="1">
        <f t="shared" si="651"/>
        <v>0</v>
      </c>
      <c r="R1181" s="1">
        <v>0</v>
      </c>
      <c r="S1181" s="1">
        <f t="shared" si="652"/>
        <v>0</v>
      </c>
      <c r="T1181" s="1">
        <v>0</v>
      </c>
      <c r="U1181" s="1">
        <v>200000</v>
      </c>
      <c r="V1181" s="1">
        <v>0</v>
      </c>
      <c r="W1181" s="1">
        <v>0</v>
      </c>
      <c r="X1181" s="1">
        <v>0</v>
      </c>
      <c r="Y1181" s="1">
        <v>0</v>
      </c>
      <c r="Z1181" s="1">
        <v>0</v>
      </c>
      <c r="AA1181" s="1">
        <v>0</v>
      </c>
      <c r="AB1181" s="1">
        <v>0</v>
      </c>
      <c r="AC1181" s="1">
        <v>0</v>
      </c>
      <c r="AD1181" s="1">
        <v>0</v>
      </c>
    </row>
    <row r="1182" spans="1:30" s="20" customFormat="1" ht="36" customHeight="1" x14ac:dyDescent="0.25">
      <c r="A1182" s="2">
        <f t="shared" si="628"/>
        <v>1146</v>
      </c>
      <c r="B1182" s="6">
        <f t="shared" si="648"/>
        <v>1146</v>
      </c>
      <c r="C1182" s="19" t="s">
        <v>2430</v>
      </c>
      <c r="D1182" s="4">
        <f t="shared" si="624"/>
        <v>10700000</v>
      </c>
      <c r="E1182" s="1">
        <f t="shared" si="649"/>
        <v>0</v>
      </c>
      <c r="F1182" s="1">
        <v>0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2">
        <v>3</v>
      </c>
      <c r="M1182" s="1">
        <f t="shared" si="650"/>
        <v>10500000</v>
      </c>
      <c r="N1182" s="1">
        <v>0</v>
      </c>
      <c r="O1182" s="1">
        <v>0</v>
      </c>
      <c r="P1182" s="1">
        <v>0</v>
      </c>
      <c r="Q1182" s="1">
        <f t="shared" si="651"/>
        <v>0</v>
      </c>
      <c r="R1182" s="1">
        <v>0</v>
      </c>
      <c r="S1182" s="1">
        <f t="shared" si="652"/>
        <v>0</v>
      </c>
      <c r="T1182" s="1">
        <v>0</v>
      </c>
      <c r="U1182" s="1">
        <v>200000</v>
      </c>
      <c r="V1182" s="1">
        <v>0</v>
      </c>
      <c r="W1182" s="1">
        <v>0</v>
      </c>
      <c r="X1182" s="1">
        <v>0</v>
      </c>
      <c r="Y1182" s="1">
        <v>0</v>
      </c>
      <c r="Z1182" s="1">
        <v>0</v>
      </c>
      <c r="AA1182" s="1">
        <v>0</v>
      </c>
      <c r="AB1182" s="1">
        <v>0</v>
      </c>
      <c r="AC1182" s="1">
        <v>0</v>
      </c>
      <c r="AD1182" s="1">
        <v>0</v>
      </c>
    </row>
    <row r="1183" spans="1:30" s="20" customFormat="1" ht="36" customHeight="1" x14ac:dyDescent="0.25">
      <c r="A1183" s="2">
        <f t="shared" si="628"/>
        <v>1147</v>
      </c>
      <c r="B1183" s="3">
        <f t="shared" si="639"/>
        <v>1147</v>
      </c>
      <c r="C1183" s="19" t="s">
        <v>2480</v>
      </c>
      <c r="D1183" s="4">
        <f t="shared" si="624"/>
        <v>5022000</v>
      </c>
      <c r="E1183" s="1">
        <f t="shared" si="640"/>
        <v>0</v>
      </c>
      <c r="F1183" s="1">
        <v>0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2">
        <v>0</v>
      </c>
      <c r="M1183" s="1">
        <v>0</v>
      </c>
      <c r="N1183" s="1">
        <v>648</v>
      </c>
      <c r="O1183" s="1">
        <f>N1183*7750</f>
        <v>5022000</v>
      </c>
      <c r="P1183" s="1">
        <v>0</v>
      </c>
      <c r="Q1183" s="1">
        <f t="shared" si="642"/>
        <v>0</v>
      </c>
      <c r="R1183" s="1">
        <v>0</v>
      </c>
      <c r="S1183" s="1">
        <f t="shared" si="643"/>
        <v>0</v>
      </c>
      <c r="T1183" s="1">
        <v>0</v>
      </c>
      <c r="U1183" s="1">
        <v>0</v>
      </c>
      <c r="V1183" s="1">
        <v>0</v>
      </c>
      <c r="W1183" s="1">
        <v>0</v>
      </c>
      <c r="X1183" s="1">
        <v>0</v>
      </c>
      <c r="Y1183" s="1">
        <v>0</v>
      </c>
      <c r="Z1183" s="1">
        <v>0</v>
      </c>
      <c r="AA1183" s="1">
        <v>0</v>
      </c>
      <c r="AB1183" s="1">
        <v>0</v>
      </c>
      <c r="AC1183" s="1">
        <v>0</v>
      </c>
      <c r="AD1183" s="1">
        <v>0</v>
      </c>
    </row>
    <row r="1184" spans="1:30" s="20" customFormat="1" ht="36" customHeight="1" x14ac:dyDescent="0.25">
      <c r="A1184" s="2">
        <f t="shared" si="628"/>
        <v>1148</v>
      </c>
      <c r="B1184" s="2">
        <f>A1184</f>
        <v>1148</v>
      </c>
      <c r="C1184" s="19" t="s">
        <v>1990</v>
      </c>
      <c r="D1184" s="39">
        <f t="shared" si="624"/>
        <v>4650000</v>
      </c>
      <c r="E1184" s="1">
        <f t="shared" si="604"/>
        <v>0</v>
      </c>
      <c r="F1184" s="1">
        <v>0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2">
        <v>0</v>
      </c>
      <c r="M1184" s="1">
        <v>0</v>
      </c>
      <c r="N1184" s="1">
        <v>600</v>
      </c>
      <c r="O1184" s="1">
        <f>N1184*7750</f>
        <v>4650000</v>
      </c>
      <c r="P1184" s="1">
        <v>0</v>
      </c>
      <c r="Q1184" s="1">
        <f t="shared" si="606"/>
        <v>0</v>
      </c>
      <c r="R1184" s="1">
        <v>0</v>
      </c>
      <c r="S1184" s="1">
        <f t="shared" si="607"/>
        <v>0</v>
      </c>
      <c r="T1184" s="1">
        <v>0</v>
      </c>
      <c r="U1184" s="1">
        <v>0</v>
      </c>
      <c r="V1184" s="1">
        <v>0</v>
      </c>
      <c r="W1184" s="1">
        <v>0</v>
      </c>
      <c r="X1184" s="1">
        <v>0</v>
      </c>
      <c r="Y1184" s="1">
        <v>0</v>
      </c>
      <c r="Z1184" s="1">
        <v>0</v>
      </c>
      <c r="AA1184" s="1">
        <v>0</v>
      </c>
      <c r="AB1184" s="1">
        <v>0</v>
      </c>
      <c r="AC1184" s="1">
        <v>0</v>
      </c>
      <c r="AD1184" s="1">
        <v>0</v>
      </c>
    </row>
    <row r="1185" spans="1:30" s="20" customFormat="1" ht="40.15" customHeight="1" x14ac:dyDescent="0.25">
      <c r="A1185" s="3"/>
      <c r="B1185" s="72" t="s">
        <v>1991</v>
      </c>
      <c r="C1185" s="73"/>
      <c r="D1185" s="73"/>
      <c r="E1185" s="73"/>
      <c r="F1185" s="73"/>
      <c r="G1185" s="73"/>
      <c r="H1185" s="73"/>
      <c r="I1185" s="73"/>
      <c r="J1185" s="73"/>
      <c r="K1185" s="73"/>
      <c r="L1185" s="73"/>
      <c r="M1185" s="73"/>
      <c r="N1185" s="73"/>
      <c r="O1185" s="73"/>
      <c r="P1185" s="73"/>
      <c r="Q1185" s="73"/>
      <c r="R1185" s="73"/>
      <c r="S1185" s="73"/>
      <c r="T1185" s="73"/>
      <c r="U1185" s="73"/>
      <c r="V1185" s="73"/>
      <c r="W1185" s="73"/>
      <c r="X1185" s="73"/>
      <c r="Y1185" s="73"/>
      <c r="Z1185" s="73"/>
      <c r="AA1185" s="73"/>
      <c r="AB1185" s="73"/>
      <c r="AC1185" s="73"/>
      <c r="AD1185" s="73"/>
    </row>
    <row r="1186" spans="1:30" s="20" customFormat="1" ht="40.15" customHeight="1" x14ac:dyDescent="0.25">
      <c r="A1186" s="2"/>
      <c r="B1186" s="47" t="s">
        <v>631</v>
      </c>
      <c r="C1186" s="48"/>
      <c r="D1186" s="4">
        <f t="shared" ref="D1186:AD1186" si="653">D1187+D1193+D1269+D1288+D1296+D1323+D1342+D1347+D1360+D1363+D1366+D1374+D1384+D1386+D1404+D1441+D1470+D1523+D1790+D1837+D1856+D1862+D1865+D1869+D1875</f>
        <v>6845543871.3699999</v>
      </c>
      <c r="E1186" s="4">
        <f t="shared" si="653"/>
        <v>3417047555.6600003</v>
      </c>
      <c r="F1186" s="4">
        <f t="shared" si="653"/>
        <v>765777212.88000023</v>
      </c>
      <c r="G1186" s="4">
        <f t="shared" si="653"/>
        <v>1537481273.9499993</v>
      </c>
      <c r="H1186" s="4">
        <f t="shared" si="653"/>
        <v>339405647.20000005</v>
      </c>
      <c r="I1186" s="4">
        <f t="shared" si="653"/>
        <v>366348952.06000012</v>
      </c>
      <c r="J1186" s="4">
        <f t="shared" si="653"/>
        <v>408034469.56999999</v>
      </c>
      <c r="K1186" s="4">
        <f t="shared" si="653"/>
        <v>0</v>
      </c>
      <c r="L1186" s="17">
        <f t="shared" si="653"/>
        <v>201</v>
      </c>
      <c r="M1186" s="4">
        <f t="shared" si="653"/>
        <v>703500000</v>
      </c>
      <c r="N1186" s="4">
        <f t="shared" si="653"/>
        <v>151672.57</v>
      </c>
      <c r="O1186" s="4">
        <f t="shared" si="653"/>
        <v>1060384531.58</v>
      </c>
      <c r="P1186" s="4">
        <f t="shared" si="653"/>
        <v>3930</v>
      </c>
      <c r="Q1186" s="4">
        <f t="shared" si="653"/>
        <v>5502000</v>
      </c>
      <c r="R1186" s="4">
        <f t="shared" si="653"/>
        <v>423025.78</v>
      </c>
      <c r="S1186" s="4">
        <f t="shared" si="653"/>
        <v>1584309784.1299999</v>
      </c>
      <c r="T1186" s="4">
        <f t="shared" si="653"/>
        <v>14700000</v>
      </c>
      <c r="U1186" s="4">
        <f t="shared" si="653"/>
        <v>41850000</v>
      </c>
      <c r="V1186" s="4">
        <f t="shared" si="653"/>
        <v>50000</v>
      </c>
      <c r="W1186" s="4">
        <f t="shared" si="653"/>
        <v>18200000</v>
      </c>
      <c r="X1186" s="4">
        <f t="shared" si="653"/>
        <v>0</v>
      </c>
      <c r="Y1186" s="4">
        <f t="shared" si="653"/>
        <v>0</v>
      </c>
      <c r="Z1186" s="4">
        <f t="shared" si="653"/>
        <v>0</v>
      </c>
      <c r="AA1186" s="4">
        <f t="shared" si="653"/>
        <v>0</v>
      </c>
      <c r="AB1186" s="4">
        <f t="shared" si="653"/>
        <v>0</v>
      </c>
      <c r="AC1186" s="4">
        <f t="shared" si="653"/>
        <v>0</v>
      </c>
      <c r="AD1186" s="4">
        <f t="shared" si="653"/>
        <v>0</v>
      </c>
    </row>
    <row r="1187" spans="1:30" s="20" customFormat="1" ht="54.95" customHeight="1" x14ac:dyDescent="0.25">
      <c r="A1187" s="3"/>
      <c r="B1187" s="47" t="s">
        <v>1992</v>
      </c>
      <c r="C1187" s="48"/>
      <c r="D1187" s="4">
        <f>SUM(D1188:D1192)</f>
        <v>22053450.449999999</v>
      </c>
      <c r="E1187" s="4">
        <f t="shared" ref="E1187:AD1187" si="654">SUM(E1188:E1192)</f>
        <v>8850870.5999999996</v>
      </c>
      <c r="F1187" s="4">
        <f t="shared" si="654"/>
        <v>2121675.6</v>
      </c>
      <c r="G1187" s="4">
        <f t="shared" si="654"/>
        <v>4467657.7</v>
      </c>
      <c r="H1187" s="4">
        <f t="shared" si="654"/>
        <v>1029171</v>
      </c>
      <c r="I1187" s="4">
        <f t="shared" si="654"/>
        <v>0</v>
      </c>
      <c r="J1187" s="4">
        <f t="shared" si="654"/>
        <v>1232366.3</v>
      </c>
      <c r="K1187" s="4">
        <f t="shared" si="654"/>
        <v>0</v>
      </c>
      <c r="L1187" s="17">
        <f t="shared" si="654"/>
        <v>0</v>
      </c>
      <c r="M1187" s="4">
        <f t="shared" si="654"/>
        <v>0</v>
      </c>
      <c r="N1187" s="4">
        <f t="shared" si="654"/>
        <v>682</v>
      </c>
      <c r="O1187" s="4">
        <f t="shared" si="654"/>
        <v>5285500</v>
      </c>
      <c r="P1187" s="4">
        <f t="shared" si="654"/>
        <v>0</v>
      </c>
      <c r="Q1187" s="4">
        <f t="shared" si="654"/>
        <v>0</v>
      </c>
      <c r="R1187" s="4">
        <f t="shared" si="654"/>
        <v>2017.3500000000001</v>
      </c>
      <c r="S1187" s="4">
        <f t="shared" si="654"/>
        <v>7567079.8499999996</v>
      </c>
      <c r="T1187" s="4">
        <f t="shared" si="654"/>
        <v>0</v>
      </c>
      <c r="U1187" s="4">
        <f t="shared" si="654"/>
        <v>200000</v>
      </c>
      <c r="V1187" s="4">
        <f t="shared" si="654"/>
        <v>0</v>
      </c>
      <c r="W1187" s="4">
        <f t="shared" si="654"/>
        <v>150000</v>
      </c>
      <c r="X1187" s="4">
        <f t="shared" si="654"/>
        <v>0</v>
      </c>
      <c r="Y1187" s="4">
        <f t="shared" si="654"/>
        <v>0</v>
      </c>
      <c r="Z1187" s="4">
        <f t="shared" si="654"/>
        <v>0</v>
      </c>
      <c r="AA1187" s="4">
        <f t="shared" si="654"/>
        <v>0</v>
      </c>
      <c r="AB1187" s="4">
        <f t="shared" si="654"/>
        <v>0</v>
      </c>
      <c r="AC1187" s="4">
        <f t="shared" si="654"/>
        <v>0</v>
      </c>
      <c r="AD1187" s="4">
        <f t="shared" si="654"/>
        <v>0</v>
      </c>
    </row>
    <row r="1188" spans="1:30" s="20" customFormat="1" ht="36" customHeight="1" x14ac:dyDescent="0.25">
      <c r="A1188" s="2">
        <f>ROW()-ROW($A$11)-28</f>
        <v>1149</v>
      </c>
      <c r="B1188" s="6">
        <f>A1188</f>
        <v>1149</v>
      </c>
      <c r="C1188" s="32" t="s">
        <v>632</v>
      </c>
      <c r="D1188" s="4">
        <f>E1188+M1188+O1188+Q1188+S1188+T1188+U1188+V1188+W1188+X1188+Z1188+AA1188+AB1188+AC1188+AD1188</f>
        <v>4186326.2</v>
      </c>
      <c r="E1188" s="1">
        <f>SUM(F1188:K1188)</f>
        <v>1708192.2000000002</v>
      </c>
      <c r="F1188" s="1">
        <f>804*509.3</f>
        <v>409477.2</v>
      </c>
      <c r="G1188" s="1">
        <f>1693*509.3</f>
        <v>862244.9</v>
      </c>
      <c r="H1188" s="1">
        <f>390*509.3</f>
        <v>198627</v>
      </c>
      <c r="I1188" s="1">
        <v>0</v>
      </c>
      <c r="J1188" s="1">
        <f>467*509.3</f>
        <v>237843.1</v>
      </c>
      <c r="K1188" s="1">
        <v>0</v>
      </c>
      <c r="L1188" s="2">
        <v>0</v>
      </c>
      <c r="M1188" s="1">
        <v>0</v>
      </c>
      <c r="N1188" s="1">
        <v>0</v>
      </c>
      <c r="O1188" s="1">
        <v>0</v>
      </c>
      <c r="P1188" s="1">
        <v>0</v>
      </c>
      <c r="Q1188" s="1">
        <f>P1188*1400</f>
        <v>0</v>
      </c>
      <c r="R1188" s="1">
        <v>634</v>
      </c>
      <c r="S1188" s="1">
        <f>R1188*3751</f>
        <v>2378134</v>
      </c>
      <c r="T1188" s="1">
        <v>0</v>
      </c>
      <c r="U1188" s="1">
        <v>50000</v>
      </c>
      <c r="V1188" s="1">
        <v>0</v>
      </c>
      <c r="W1188" s="1">
        <v>50000</v>
      </c>
      <c r="X1188" s="1">
        <v>0</v>
      </c>
      <c r="Y1188" s="1">
        <v>0</v>
      </c>
      <c r="Z1188" s="1">
        <v>0</v>
      </c>
      <c r="AA1188" s="1">
        <v>0</v>
      </c>
      <c r="AB1188" s="1">
        <v>0</v>
      </c>
      <c r="AC1188" s="1">
        <v>0</v>
      </c>
      <c r="AD1188" s="1">
        <v>0</v>
      </c>
    </row>
    <row r="1189" spans="1:30" s="20" customFormat="1" ht="36" customHeight="1" x14ac:dyDescent="0.25">
      <c r="A1189" s="2">
        <f t="shared" ref="A1189:A1192" si="655">ROW()-ROW($A$11)-28</f>
        <v>1150</v>
      </c>
      <c r="B1189" s="6">
        <f>A1189</f>
        <v>1150</v>
      </c>
      <c r="C1189" s="32" t="s">
        <v>633</v>
      </c>
      <c r="D1189" s="4">
        <f>E1189+M1189+O1189+Q1189+S1189+T1189+U1189+V1189+W1189+X1189+Z1189+AA1189+AB1189+AC1189+AD1189</f>
        <v>5329861.0100000007</v>
      </c>
      <c r="E1189" s="1">
        <f>SUM(F1189:K1189)</f>
        <v>1266470.4000000001</v>
      </c>
      <c r="F1189" s="1">
        <f>804*377.6</f>
        <v>303590.40000000002</v>
      </c>
      <c r="G1189" s="1">
        <f>1693*377.6</f>
        <v>639276.80000000005</v>
      </c>
      <c r="H1189" s="1">
        <f>390*377.6</f>
        <v>147264</v>
      </c>
      <c r="I1189" s="1">
        <v>0</v>
      </c>
      <c r="J1189" s="1">
        <f>467*377.6</f>
        <v>176339.20000000001</v>
      </c>
      <c r="K1189" s="1">
        <v>0</v>
      </c>
      <c r="L1189" s="2">
        <v>0</v>
      </c>
      <c r="M1189" s="1">
        <v>0</v>
      </c>
      <c r="N1189" s="1">
        <v>292.10000000000002</v>
      </c>
      <c r="O1189" s="1">
        <f>N1189*7750</f>
        <v>2263775</v>
      </c>
      <c r="P1189" s="1">
        <v>0</v>
      </c>
      <c r="Q1189" s="1">
        <f>P1189*1400</f>
        <v>0</v>
      </c>
      <c r="R1189" s="1">
        <v>453.11</v>
      </c>
      <c r="S1189" s="1">
        <f>R1189*3751</f>
        <v>1699615.61</v>
      </c>
      <c r="T1189" s="1">
        <v>0</v>
      </c>
      <c r="U1189" s="1">
        <v>50000</v>
      </c>
      <c r="V1189" s="1">
        <v>0</v>
      </c>
      <c r="W1189" s="1">
        <v>50000</v>
      </c>
      <c r="X1189" s="1">
        <v>0</v>
      </c>
      <c r="Y1189" s="1">
        <v>0</v>
      </c>
      <c r="Z1189" s="1">
        <v>0</v>
      </c>
      <c r="AA1189" s="1">
        <v>0</v>
      </c>
      <c r="AB1189" s="1">
        <v>0</v>
      </c>
      <c r="AC1189" s="1">
        <v>0</v>
      </c>
      <c r="AD1189" s="1">
        <v>0</v>
      </c>
    </row>
    <row r="1190" spans="1:30" s="20" customFormat="1" ht="36" customHeight="1" x14ac:dyDescent="0.25">
      <c r="A1190" s="2">
        <f t="shared" si="655"/>
        <v>1151</v>
      </c>
      <c r="B1190" s="6">
        <f>A1190</f>
        <v>1151</v>
      </c>
      <c r="C1190" s="32" t="s">
        <v>634</v>
      </c>
      <c r="D1190" s="4">
        <f>E1190+M1190+O1190+Q1190+S1190+T1190+U1190+V1190+W1190+X1190+Z1190+AA1190+AB1190+AC1190+AD1190</f>
        <v>7013801.5</v>
      </c>
      <c r="E1190" s="1">
        <f>SUM(F1190:K1190)</f>
        <v>1780638.5999999999</v>
      </c>
      <c r="F1190" s="1">
        <f>804*530.9</f>
        <v>426843.6</v>
      </c>
      <c r="G1190" s="1">
        <f>1693*530.9</f>
        <v>898813.7</v>
      </c>
      <c r="H1190" s="1">
        <f>390*530.9</f>
        <v>207051</v>
      </c>
      <c r="I1190" s="1">
        <v>0</v>
      </c>
      <c r="J1190" s="1">
        <f>467*530.9</f>
        <v>247930.3</v>
      </c>
      <c r="K1190" s="1">
        <v>0</v>
      </c>
      <c r="L1190" s="2">
        <v>0</v>
      </c>
      <c r="M1190" s="1">
        <v>0</v>
      </c>
      <c r="N1190" s="1">
        <v>389.9</v>
      </c>
      <c r="O1190" s="1">
        <f>N1190*7750</f>
        <v>3021725</v>
      </c>
      <c r="P1190" s="1">
        <v>0</v>
      </c>
      <c r="Q1190" s="1">
        <f>P1190*1400</f>
        <v>0</v>
      </c>
      <c r="R1190" s="1">
        <v>562.9</v>
      </c>
      <c r="S1190" s="1">
        <f>R1190*3751</f>
        <v>2111437.9</v>
      </c>
      <c r="T1190" s="1">
        <v>0</v>
      </c>
      <c r="U1190" s="1">
        <v>50000</v>
      </c>
      <c r="V1190" s="1">
        <v>0</v>
      </c>
      <c r="W1190" s="1">
        <v>50000</v>
      </c>
      <c r="X1190" s="1">
        <v>0</v>
      </c>
      <c r="Y1190" s="1">
        <v>0</v>
      </c>
      <c r="Z1190" s="1">
        <v>0</v>
      </c>
      <c r="AA1190" s="1">
        <v>0</v>
      </c>
      <c r="AB1190" s="1">
        <v>0</v>
      </c>
      <c r="AC1190" s="1">
        <v>0</v>
      </c>
      <c r="AD1190" s="1">
        <v>0</v>
      </c>
    </row>
    <row r="1191" spans="1:30" s="20" customFormat="1" ht="36" customHeight="1" x14ac:dyDescent="0.25">
      <c r="A1191" s="2">
        <f t="shared" si="655"/>
        <v>1152</v>
      </c>
      <c r="B1191" s="6">
        <f>A1191</f>
        <v>1152</v>
      </c>
      <c r="C1191" s="32" t="s">
        <v>635</v>
      </c>
      <c r="D1191" s="4">
        <f>E1191+M1191+O1191+Q1191+S1191+T1191+U1191+V1191+W1191+X1191+Z1191+AA1191+AB1191+AC1191+AD1191</f>
        <v>1377892.3399999999</v>
      </c>
      <c r="E1191" s="1">
        <f>SUM(F1191:K1191)</f>
        <v>0</v>
      </c>
      <c r="F1191" s="1">
        <v>0</v>
      </c>
      <c r="G1191" s="1">
        <v>0</v>
      </c>
      <c r="H1191" s="1">
        <v>0</v>
      </c>
      <c r="I1191" s="1">
        <v>0</v>
      </c>
      <c r="J1191" s="1">
        <v>0</v>
      </c>
      <c r="K1191" s="1">
        <v>0</v>
      </c>
      <c r="L1191" s="2">
        <v>0</v>
      </c>
      <c r="M1191" s="1">
        <v>0</v>
      </c>
      <c r="N1191" s="1">
        <v>0</v>
      </c>
      <c r="O1191" s="1">
        <v>0</v>
      </c>
      <c r="P1191" s="1">
        <v>0</v>
      </c>
      <c r="Q1191" s="1">
        <f>P1191*1400</f>
        <v>0</v>
      </c>
      <c r="R1191" s="1">
        <v>367.34</v>
      </c>
      <c r="S1191" s="1">
        <f>R1191*3751</f>
        <v>1377892.3399999999</v>
      </c>
      <c r="T1191" s="1">
        <v>0</v>
      </c>
      <c r="U1191" s="1">
        <v>0</v>
      </c>
      <c r="V1191" s="1">
        <v>0</v>
      </c>
      <c r="W1191" s="1">
        <v>0</v>
      </c>
      <c r="X1191" s="1">
        <v>0</v>
      </c>
      <c r="Y1191" s="1">
        <v>0</v>
      </c>
      <c r="Z1191" s="1">
        <v>0</v>
      </c>
      <c r="AA1191" s="1">
        <v>0</v>
      </c>
      <c r="AB1191" s="1">
        <v>0</v>
      </c>
      <c r="AC1191" s="1">
        <v>0</v>
      </c>
      <c r="AD1191" s="1">
        <v>0</v>
      </c>
    </row>
    <row r="1192" spans="1:30" s="20" customFormat="1" ht="36" customHeight="1" x14ac:dyDescent="0.25">
      <c r="A1192" s="2">
        <f t="shared" si="655"/>
        <v>1153</v>
      </c>
      <c r="B1192" s="6">
        <f>A1192</f>
        <v>1153</v>
      </c>
      <c r="C1192" s="32" t="s">
        <v>1624</v>
      </c>
      <c r="D1192" s="4">
        <f>E1192+M1192+O1192+Q1192+S1192+T1192+U1192+V1192+W1192+X1192+Z1192+AA1192+AB1192+AC1192+AD1192</f>
        <v>4145569.3999999994</v>
      </c>
      <c r="E1192" s="1">
        <f>SUM(F1192:K1192)</f>
        <v>4095569.3999999994</v>
      </c>
      <c r="F1192" s="1">
        <f>804*1221.1</f>
        <v>981764.39999999991</v>
      </c>
      <c r="G1192" s="1">
        <f>1693*1221.1</f>
        <v>2067322.2999999998</v>
      </c>
      <c r="H1192" s="1">
        <f>390*1221.1</f>
        <v>476228.99999999994</v>
      </c>
      <c r="I1192" s="1">
        <v>0</v>
      </c>
      <c r="J1192" s="1">
        <f>467*1221.1</f>
        <v>570253.69999999995</v>
      </c>
      <c r="K1192" s="1">
        <v>0</v>
      </c>
      <c r="L1192" s="2">
        <v>0</v>
      </c>
      <c r="M1192" s="1">
        <v>0</v>
      </c>
      <c r="N1192" s="1">
        <v>0</v>
      </c>
      <c r="O1192" s="1">
        <v>0</v>
      </c>
      <c r="P1192" s="1">
        <v>0</v>
      </c>
      <c r="Q1192" s="1">
        <f>P1192*1400</f>
        <v>0</v>
      </c>
      <c r="R1192" s="1">
        <v>0</v>
      </c>
      <c r="S1192" s="1">
        <f>R1192*3751</f>
        <v>0</v>
      </c>
      <c r="T1192" s="1">
        <v>0</v>
      </c>
      <c r="U1192" s="1">
        <v>50000</v>
      </c>
      <c r="V1192" s="1">
        <v>0</v>
      </c>
      <c r="W1192" s="1">
        <v>0</v>
      </c>
      <c r="X1192" s="1">
        <v>0</v>
      </c>
      <c r="Y1192" s="1">
        <v>0</v>
      </c>
      <c r="Z1192" s="1">
        <v>0</v>
      </c>
      <c r="AA1192" s="1">
        <v>0</v>
      </c>
      <c r="AB1192" s="1">
        <v>0</v>
      </c>
      <c r="AC1192" s="1">
        <v>0</v>
      </c>
      <c r="AD1192" s="1">
        <v>0</v>
      </c>
    </row>
    <row r="1193" spans="1:30" s="20" customFormat="1" ht="54.95" customHeight="1" x14ac:dyDescent="0.25">
      <c r="A1193" s="3"/>
      <c r="B1193" s="47" t="s">
        <v>1966</v>
      </c>
      <c r="C1193" s="48"/>
      <c r="D1193" s="4">
        <f>SUM(D1194:D1268)</f>
        <v>706178802.0599997</v>
      </c>
      <c r="E1193" s="4">
        <f t="shared" ref="E1193:AD1193" si="656">SUM(E1194:E1268)</f>
        <v>368834537.84999996</v>
      </c>
      <c r="F1193" s="4">
        <f t="shared" si="656"/>
        <v>85338947.879999995</v>
      </c>
      <c r="G1193" s="4">
        <f t="shared" si="656"/>
        <v>167646988.65999991</v>
      </c>
      <c r="H1193" s="4">
        <f t="shared" si="656"/>
        <v>40033296.099999994</v>
      </c>
      <c r="I1193" s="4">
        <f t="shared" si="656"/>
        <v>28836739.070000004</v>
      </c>
      <c r="J1193" s="4">
        <f t="shared" si="656"/>
        <v>46978566.139999978</v>
      </c>
      <c r="K1193" s="4">
        <f t="shared" si="656"/>
        <v>0</v>
      </c>
      <c r="L1193" s="17">
        <f t="shared" si="656"/>
        <v>11</v>
      </c>
      <c r="M1193" s="4">
        <f t="shared" si="656"/>
        <v>38500000</v>
      </c>
      <c r="N1193" s="4">
        <f t="shared" si="656"/>
        <v>16009.57</v>
      </c>
      <c r="O1193" s="4">
        <f t="shared" si="656"/>
        <v>118445458.18000001</v>
      </c>
      <c r="P1193" s="4">
        <f t="shared" si="656"/>
        <v>1400</v>
      </c>
      <c r="Q1193" s="4">
        <f t="shared" si="656"/>
        <v>1960000</v>
      </c>
      <c r="R1193" s="4">
        <f t="shared" si="656"/>
        <v>44318.530000000006</v>
      </c>
      <c r="S1193" s="4">
        <f t="shared" si="656"/>
        <v>166238806.03</v>
      </c>
      <c r="T1193" s="4">
        <f t="shared" si="656"/>
        <v>5400000</v>
      </c>
      <c r="U1193" s="4">
        <f t="shared" si="656"/>
        <v>4400000</v>
      </c>
      <c r="V1193" s="4">
        <f t="shared" si="656"/>
        <v>0</v>
      </c>
      <c r="W1193" s="4">
        <f t="shared" si="656"/>
        <v>2400000</v>
      </c>
      <c r="X1193" s="4">
        <f t="shared" si="656"/>
        <v>0</v>
      </c>
      <c r="Y1193" s="4">
        <f t="shared" si="656"/>
        <v>0</v>
      </c>
      <c r="Z1193" s="4">
        <f t="shared" si="656"/>
        <v>0</v>
      </c>
      <c r="AA1193" s="4">
        <f t="shared" si="656"/>
        <v>0</v>
      </c>
      <c r="AB1193" s="4">
        <f t="shared" si="656"/>
        <v>0</v>
      </c>
      <c r="AC1193" s="4">
        <f t="shared" si="656"/>
        <v>0</v>
      </c>
      <c r="AD1193" s="4">
        <f t="shared" si="656"/>
        <v>0</v>
      </c>
    </row>
    <row r="1194" spans="1:30" s="20" customFormat="1" ht="36" customHeight="1" x14ac:dyDescent="0.25">
      <c r="A1194" s="2">
        <f>ROW()-ROW($A$11)-29</f>
        <v>1154</v>
      </c>
      <c r="B1194" s="6">
        <f t="shared" ref="B1194:B1200" si="657">A1194</f>
        <v>1154</v>
      </c>
      <c r="C1194" s="19" t="s">
        <v>1625</v>
      </c>
      <c r="D1194" s="4">
        <f t="shared" ref="D1194:D1225" si="658">E1194+M1194+O1194+Q1194+S1194+T1194+U1194+V1194+W1194+X1194+Z1194+AA1194+AB1194+AC1194+AD1194</f>
        <v>22878844</v>
      </c>
      <c r="E1194" s="1">
        <f>SUM(F1194:K1194)</f>
        <v>18854444</v>
      </c>
      <c r="F1194" s="1">
        <f>804*4803.68</f>
        <v>3862158.72</v>
      </c>
      <c r="G1194" s="1">
        <f>1693*4803.68</f>
        <v>8132630.2400000002</v>
      </c>
      <c r="H1194" s="1">
        <f>390*4803.68</f>
        <v>1873435.2000000002</v>
      </c>
      <c r="I1194" s="1">
        <f>571*4803.68</f>
        <v>2742901.2800000003</v>
      </c>
      <c r="J1194" s="1">
        <f>467*4803.68</f>
        <v>2243318.56</v>
      </c>
      <c r="K1194" s="1">
        <v>0</v>
      </c>
      <c r="L1194" s="2">
        <v>0</v>
      </c>
      <c r="M1194" s="1">
        <v>0</v>
      </c>
      <c r="N1194" s="1">
        <v>800</v>
      </c>
      <c r="O1194" s="1">
        <f>N1194*4968</f>
        <v>3974400</v>
      </c>
      <c r="P1194" s="1">
        <v>0</v>
      </c>
      <c r="Q1194" s="1">
        <f>P1194*1400</f>
        <v>0</v>
      </c>
      <c r="R1194" s="1">
        <v>0</v>
      </c>
      <c r="S1194" s="1">
        <f>R1194*3751</f>
        <v>0</v>
      </c>
      <c r="T1194" s="1">
        <v>0</v>
      </c>
      <c r="U1194" s="1">
        <v>50000</v>
      </c>
      <c r="V1194" s="1">
        <v>0</v>
      </c>
      <c r="W1194" s="1">
        <v>0</v>
      </c>
      <c r="X1194" s="1">
        <v>0</v>
      </c>
      <c r="Y1194" s="1">
        <v>0</v>
      </c>
      <c r="Z1194" s="1">
        <v>0</v>
      </c>
      <c r="AA1194" s="1">
        <v>0</v>
      </c>
      <c r="AB1194" s="1">
        <v>0</v>
      </c>
      <c r="AC1194" s="1">
        <v>0</v>
      </c>
      <c r="AD1194" s="1">
        <v>0</v>
      </c>
    </row>
    <row r="1195" spans="1:30" s="20" customFormat="1" ht="36" customHeight="1" x14ac:dyDescent="0.25">
      <c r="A1195" s="2">
        <f t="shared" ref="A1195:A1258" si="659">ROW()-ROW($A$11)-29</f>
        <v>1155</v>
      </c>
      <c r="B1195" s="6">
        <f t="shared" si="657"/>
        <v>1155</v>
      </c>
      <c r="C1195" s="19" t="s">
        <v>640</v>
      </c>
      <c r="D1195" s="4">
        <f t="shared" si="658"/>
        <v>6990402.4999999991</v>
      </c>
      <c r="E1195" s="1">
        <f>SUM(F1195:K1195)</f>
        <v>6740402.4999999991</v>
      </c>
      <c r="F1195" s="1">
        <f>804*1717.3</f>
        <v>1380709.2</v>
      </c>
      <c r="G1195" s="1">
        <f>1693*1717.3</f>
        <v>2907388.9</v>
      </c>
      <c r="H1195" s="1">
        <f>390*1717.3</f>
        <v>669747</v>
      </c>
      <c r="I1195" s="1">
        <f>571*1717.3</f>
        <v>980578.29999999993</v>
      </c>
      <c r="J1195" s="1">
        <f>467*1717.3</f>
        <v>801979.1</v>
      </c>
      <c r="K1195" s="1">
        <v>0</v>
      </c>
      <c r="L1195" s="2">
        <v>0</v>
      </c>
      <c r="M1195" s="1">
        <v>0</v>
      </c>
      <c r="N1195" s="1">
        <v>0</v>
      </c>
      <c r="O1195" s="1">
        <v>0</v>
      </c>
      <c r="P1195" s="1">
        <v>0</v>
      </c>
      <c r="Q1195" s="1">
        <f>P1195*1400</f>
        <v>0</v>
      </c>
      <c r="R1195" s="1">
        <v>0</v>
      </c>
      <c r="S1195" s="1">
        <f>R1195*3751</f>
        <v>0</v>
      </c>
      <c r="T1195" s="1">
        <v>150000</v>
      </c>
      <c r="U1195" s="1">
        <v>50000</v>
      </c>
      <c r="V1195" s="1">
        <v>0</v>
      </c>
      <c r="W1195" s="1">
        <v>50000</v>
      </c>
      <c r="X1195" s="1">
        <v>0</v>
      </c>
      <c r="Y1195" s="1">
        <v>0</v>
      </c>
      <c r="Z1195" s="1">
        <v>0</v>
      </c>
      <c r="AA1195" s="1">
        <v>0</v>
      </c>
      <c r="AB1195" s="1">
        <v>0</v>
      </c>
      <c r="AC1195" s="1">
        <v>0</v>
      </c>
      <c r="AD1195" s="1">
        <v>0</v>
      </c>
    </row>
    <row r="1196" spans="1:30" s="20" customFormat="1" ht="36" customHeight="1" x14ac:dyDescent="0.25">
      <c r="A1196" s="2">
        <f t="shared" si="659"/>
        <v>1156</v>
      </c>
      <c r="B1196" s="6">
        <f t="shared" si="657"/>
        <v>1156</v>
      </c>
      <c r="C1196" s="19" t="s">
        <v>642</v>
      </c>
      <c r="D1196" s="4">
        <f t="shared" si="658"/>
        <v>6895160.0000000009</v>
      </c>
      <c r="E1196" s="1">
        <f>SUM(F1196:K1196)</f>
        <v>6575160.0000000009</v>
      </c>
      <c r="F1196" s="1">
        <f>804*1675.2</f>
        <v>1346860.8</v>
      </c>
      <c r="G1196" s="1">
        <f>1693*1675.2</f>
        <v>2836113.6</v>
      </c>
      <c r="H1196" s="1">
        <f>390*1675.2</f>
        <v>653328</v>
      </c>
      <c r="I1196" s="1">
        <f>571*1675.2</f>
        <v>956539.20000000007</v>
      </c>
      <c r="J1196" s="1">
        <f>467*1675.2</f>
        <v>782318.4</v>
      </c>
      <c r="K1196" s="1">
        <v>0</v>
      </c>
      <c r="L1196" s="2">
        <v>0</v>
      </c>
      <c r="M1196" s="1">
        <v>0</v>
      </c>
      <c r="N1196" s="1">
        <v>0</v>
      </c>
      <c r="O1196" s="1">
        <v>0</v>
      </c>
      <c r="P1196" s="1">
        <v>50</v>
      </c>
      <c r="Q1196" s="1">
        <f>P1196*1400</f>
        <v>70000</v>
      </c>
      <c r="R1196" s="1">
        <v>0</v>
      </c>
      <c r="S1196" s="1">
        <f>R1196*3751</f>
        <v>0</v>
      </c>
      <c r="T1196" s="1">
        <v>150000</v>
      </c>
      <c r="U1196" s="1">
        <v>50000</v>
      </c>
      <c r="V1196" s="1">
        <v>0</v>
      </c>
      <c r="W1196" s="1">
        <v>50000</v>
      </c>
      <c r="X1196" s="1">
        <v>0</v>
      </c>
      <c r="Y1196" s="1">
        <v>0</v>
      </c>
      <c r="Z1196" s="1">
        <v>0</v>
      </c>
      <c r="AA1196" s="1">
        <v>0</v>
      </c>
      <c r="AB1196" s="1">
        <v>0</v>
      </c>
      <c r="AC1196" s="1">
        <v>0</v>
      </c>
      <c r="AD1196" s="1">
        <v>0</v>
      </c>
    </row>
    <row r="1197" spans="1:30" s="20" customFormat="1" ht="36" customHeight="1" x14ac:dyDescent="0.25">
      <c r="A1197" s="2">
        <f t="shared" si="659"/>
        <v>1157</v>
      </c>
      <c r="B1197" s="6">
        <f t="shared" si="657"/>
        <v>1157</v>
      </c>
      <c r="C1197" s="19" t="s">
        <v>643</v>
      </c>
      <c r="D1197" s="4">
        <f t="shared" si="658"/>
        <v>6887310.0000000009</v>
      </c>
      <c r="E1197" s="1">
        <f>SUM(F1197:K1197)</f>
        <v>6567310.0000000009</v>
      </c>
      <c r="F1197" s="1">
        <f>804*1673.2</f>
        <v>1345252.8</v>
      </c>
      <c r="G1197" s="1">
        <f>1693*1673.2</f>
        <v>2832727.6</v>
      </c>
      <c r="H1197" s="1">
        <f>390*1673.2</f>
        <v>652548</v>
      </c>
      <c r="I1197" s="1">
        <f>571*1673.2</f>
        <v>955397.20000000007</v>
      </c>
      <c r="J1197" s="1">
        <f>467*1673.2</f>
        <v>781384.4</v>
      </c>
      <c r="K1197" s="1">
        <v>0</v>
      </c>
      <c r="L1197" s="2">
        <v>0</v>
      </c>
      <c r="M1197" s="1">
        <v>0</v>
      </c>
      <c r="N1197" s="1">
        <v>0</v>
      </c>
      <c r="O1197" s="1">
        <v>0</v>
      </c>
      <c r="P1197" s="1">
        <v>50</v>
      </c>
      <c r="Q1197" s="1">
        <f>P1197*1400</f>
        <v>70000</v>
      </c>
      <c r="R1197" s="1">
        <v>0</v>
      </c>
      <c r="S1197" s="1">
        <f>R1197*3751</f>
        <v>0</v>
      </c>
      <c r="T1197" s="1">
        <v>150000</v>
      </c>
      <c r="U1197" s="1">
        <v>50000</v>
      </c>
      <c r="V1197" s="1">
        <v>0</v>
      </c>
      <c r="W1197" s="1">
        <v>50000</v>
      </c>
      <c r="X1197" s="1">
        <v>0</v>
      </c>
      <c r="Y1197" s="1">
        <v>0</v>
      </c>
      <c r="Z1197" s="1">
        <v>0</v>
      </c>
      <c r="AA1197" s="1">
        <v>0</v>
      </c>
      <c r="AB1197" s="1">
        <v>0</v>
      </c>
      <c r="AC1197" s="1">
        <v>0</v>
      </c>
      <c r="AD1197" s="1">
        <v>0</v>
      </c>
    </row>
    <row r="1198" spans="1:30" s="20" customFormat="1" ht="36" customHeight="1" x14ac:dyDescent="0.25">
      <c r="A1198" s="2">
        <f t="shared" si="659"/>
        <v>1158</v>
      </c>
      <c r="B1198" s="6">
        <f t="shared" si="657"/>
        <v>1158</v>
      </c>
      <c r="C1198" s="19" t="s">
        <v>636</v>
      </c>
      <c r="D1198" s="4">
        <f t="shared" si="658"/>
        <v>12077062.359999999</v>
      </c>
      <c r="E1198" s="1">
        <f t="shared" ref="E1198:E1263" si="660">SUM(F1198:K1198)</f>
        <v>7519332.6000000006</v>
      </c>
      <c r="F1198" s="1">
        <f>804*2241.9</f>
        <v>1802487.6</v>
      </c>
      <c r="G1198" s="1">
        <f>1693*2241.9</f>
        <v>3795536.7</v>
      </c>
      <c r="H1198" s="1">
        <f>390*2241.9</f>
        <v>874341</v>
      </c>
      <c r="I1198" s="1">
        <v>0</v>
      </c>
      <c r="J1198" s="1">
        <f>467*2241.9</f>
        <v>1046967.3</v>
      </c>
      <c r="K1198" s="1">
        <v>0</v>
      </c>
      <c r="L1198" s="2">
        <v>0</v>
      </c>
      <c r="M1198" s="1">
        <v>0</v>
      </c>
      <c r="N1198" s="1">
        <v>0</v>
      </c>
      <c r="O1198" s="1">
        <v>0</v>
      </c>
      <c r="P1198" s="1">
        <v>50</v>
      </c>
      <c r="Q1198" s="1">
        <f>P1198*1400</f>
        <v>70000</v>
      </c>
      <c r="R1198" s="1">
        <v>1129.76</v>
      </c>
      <c r="S1198" s="1">
        <f t="shared" ref="S1198:S1226" si="661">R1198*3751</f>
        <v>4237729.76</v>
      </c>
      <c r="T1198" s="1">
        <v>150000</v>
      </c>
      <c r="U1198" s="1">
        <v>50000</v>
      </c>
      <c r="V1198" s="1">
        <v>0</v>
      </c>
      <c r="W1198" s="1">
        <v>50000</v>
      </c>
      <c r="X1198" s="1">
        <v>0</v>
      </c>
      <c r="Y1198" s="1">
        <v>0</v>
      </c>
      <c r="Z1198" s="1">
        <v>0</v>
      </c>
      <c r="AA1198" s="1">
        <v>0</v>
      </c>
      <c r="AB1198" s="1">
        <v>0</v>
      </c>
      <c r="AC1198" s="1">
        <v>0</v>
      </c>
      <c r="AD1198" s="1">
        <v>0</v>
      </c>
    </row>
    <row r="1199" spans="1:30" s="20" customFormat="1" ht="36" customHeight="1" x14ac:dyDescent="0.25">
      <c r="A1199" s="2">
        <f t="shared" si="659"/>
        <v>1159</v>
      </c>
      <c r="B1199" s="6">
        <f t="shared" si="657"/>
        <v>1159</v>
      </c>
      <c r="C1199" s="19" t="s">
        <v>637</v>
      </c>
      <c r="D1199" s="4">
        <f t="shared" si="658"/>
        <v>6635105.5599999996</v>
      </c>
      <c r="E1199" s="1">
        <f t="shared" si="660"/>
        <v>3263442</v>
      </c>
      <c r="F1199" s="1">
        <f>804*973</f>
        <v>782292</v>
      </c>
      <c r="G1199" s="1">
        <f>1693*973</f>
        <v>1647289</v>
      </c>
      <c r="H1199" s="1">
        <f>390*973</f>
        <v>379470</v>
      </c>
      <c r="I1199" s="1">
        <v>0</v>
      </c>
      <c r="J1199" s="1">
        <f>467*973</f>
        <v>454391</v>
      </c>
      <c r="K1199" s="1">
        <v>0</v>
      </c>
      <c r="L1199" s="2">
        <v>0</v>
      </c>
      <c r="M1199" s="1">
        <v>0</v>
      </c>
      <c r="N1199" s="1">
        <v>0</v>
      </c>
      <c r="O1199" s="1">
        <v>0</v>
      </c>
      <c r="P1199" s="1">
        <v>50</v>
      </c>
      <c r="Q1199" s="1">
        <f t="shared" ref="Q1199:Q1263" si="662">P1199*1400</f>
        <v>70000</v>
      </c>
      <c r="R1199" s="33">
        <v>813.56</v>
      </c>
      <c r="S1199" s="1">
        <f t="shared" si="661"/>
        <v>3051663.5599999996</v>
      </c>
      <c r="T1199" s="1">
        <v>150000</v>
      </c>
      <c r="U1199" s="1">
        <v>50000</v>
      </c>
      <c r="V1199" s="1">
        <v>0</v>
      </c>
      <c r="W1199" s="1">
        <v>50000</v>
      </c>
      <c r="X1199" s="1">
        <v>0</v>
      </c>
      <c r="Y1199" s="1">
        <v>0</v>
      </c>
      <c r="Z1199" s="1">
        <v>0</v>
      </c>
      <c r="AA1199" s="1">
        <v>0</v>
      </c>
      <c r="AB1199" s="1">
        <v>0</v>
      </c>
      <c r="AC1199" s="1">
        <v>0</v>
      </c>
      <c r="AD1199" s="1">
        <v>0</v>
      </c>
    </row>
    <row r="1200" spans="1:30" s="20" customFormat="1" ht="36" customHeight="1" x14ac:dyDescent="0.25">
      <c r="A1200" s="2">
        <f t="shared" si="659"/>
        <v>1160</v>
      </c>
      <c r="B1200" s="6">
        <f t="shared" si="657"/>
        <v>1160</v>
      </c>
      <c r="C1200" s="19" t="s">
        <v>638</v>
      </c>
      <c r="D1200" s="4">
        <f t="shared" si="658"/>
        <v>13149851.199999999</v>
      </c>
      <c r="E1200" s="1">
        <f t="shared" si="660"/>
        <v>6858259.1999999993</v>
      </c>
      <c r="F1200" s="1">
        <f>804*2044.8</f>
        <v>1644019.2</v>
      </c>
      <c r="G1200" s="1">
        <f>1693*2044.8</f>
        <v>3461846.4</v>
      </c>
      <c r="H1200" s="1">
        <f>390*2044.8</f>
        <v>797472</v>
      </c>
      <c r="I1200" s="1">
        <v>0</v>
      </c>
      <c r="J1200" s="1">
        <f>467*2044.8</f>
        <v>954921.6</v>
      </c>
      <c r="K1200" s="1">
        <v>0</v>
      </c>
      <c r="L1200" s="2">
        <v>0</v>
      </c>
      <c r="M1200" s="1">
        <v>0</v>
      </c>
      <c r="N1200" s="1">
        <v>0</v>
      </c>
      <c r="O1200" s="1">
        <v>0</v>
      </c>
      <c r="P1200" s="1">
        <v>50</v>
      </c>
      <c r="Q1200" s="1">
        <f t="shared" si="662"/>
        <v>70000</v>
      </c>
      <c r="R1200" s="33">
        <v>1592</v>
      </c>
      <c r="S1200" s="1">
        <f t="shared" si="661"/>
        <v>5971592</v>
      </c>
      <c r="T1200" s="1">
        <v>150000</v>
      </c>
      <c r="U1200" s="1">
        <v>50000</v>
      </c>
      <c r="V1200" s="1">
        <v>0</v>
      </c>
      <c r="W1200" s="1">
        <v>50000</v>
      </c>
      <c r="X1200" s="1">
        <v>0</v>
      </c>
      <c r="Y1200" s="1">
        <v>0</v>
      </c>
      <c r="Z1200" s="1">
        <v>0</v>
      </c>
      <c r="AA1200" s="1">
        <v>0</v>
      </c>
      <c r="AB1200" s="1">
        <v>0</v>
      </c>
      <c r="AC1200" s="1">
        <v>0</v>
      </c>
      <c r="AD1200" s="1">
        <v>0</v>
      </c>
    </row>
    <row r="1201" spans="1:30" s="20" customFormat="1" ht="36" customHeight="1" x14ac:dyDescent="0.25">
      <c r="A1201" s="2">
        <f t="shared" si="659"/>
        <v>1161</v>
      </c>
      <c r="B1201" s="6">
        <f t="shared" ref="B1201:B1203" si="663">A1201</f>
        <v>1161</v>
      </c>
      <c r="C1201" s="19" t="s">
        <v>639</v>
      </c>
      <c r="D1201" s="4">
        <f t="shared" si="658"/>
        <v>18128949.600000001</v>
      </c>
      <c r="E1201" s="1">
        <f t="shared" si="660"/>
        <v>5748420.6000000006</v>
      </c>
      <c r="F1201" s="1">
        <f>804*1713.9</f>
        <v>1377975.6</v>
      </c>
      <c r="G1201" s="1">
        <f>1693*1713.9</f>
        <v>2901632.7</v>
      </c>
      <c r="H1201" s="1">
        <f>390*1713.9</f>
        <v>668421</v>
      </c>
      <c r="I1201" s="1">
        <v>0</v>
      </c>
      <c r="J1201" s="1">
        <f>467*1713.9</f>
        <v>800391.3</v>
      </c>
      <c r="K1201" s="1">
        <v>0</v>
      </c>
      <c r="L1201" s="2">
        <v>0</v>
      </c>
      <c r="M1201" s="1">
        <v>0</v>
      </c>
      <c r="N1201" s="1">
        <v>851</v>
      </c>
      <c r="O1201" s="1">
        <f>N1201*7750</f>
        <v>6595250</v>
      </c>
      <c r="P1201" s="1">
        <v>0</v>
      </c>
      <c r="Q1201" s="1">
        <f t="shared" si="662"/>
        <v>0</v>
      </c>
      <c r="R1201" s="1">
        <v>1529</v>
      </c>
      <c r="S1201" s="1">
        <f>R1201*3751</f>
        <v>5735279</v>
      </c>
      <c r="T1201" s="1">
        <v>0</v>
      </c>
      <c r="U1201" s="1">
        <v>50000</v>
      </c>
      <c r="V1201" s="1">
        <v>0</v>
      </c>
      <c r="W1201" s="1">
        <v>0</v>
      </c>
      <c r="X1201" s="1">
        <v>0</v>
      </c>
      <c r="Y1201" s="1">
        <v>0</v>
      </c>
      <c r="Z1201" s="1">
        <v>0</v>
      </c>
      <c r="AA1201" s="1">
        <v>0</v>
      </c>
      <c r="AB1201" s="1">
        <v>0</v>
      </c>
      <c r="AC1201" s="1">
        <v>0</v>
      </c>
      <c r="AD1201" s="1">
        <v>0</v>
      </c>
    </row>
    <row r="1202" spans="1:30" s="20" customFormat="1" ht="36" customHeight="1" x14ac:dyDescent="0.25">
      <c r="A1202" s="2">
        <f t="shared" si="659"/>
        <v>1162</v>
      </c>
      <c r="B1202" s="6">
        <f t="shared" si="663"/>
        <v>1162</v>
      </c>
      <c r="C1202" s="19" t="s">
        <v>641</v>
      </c>
      <c r="D1202" s="4">
        <f t="shared" si="658"/>
        <v>12597237.800000001</v>
      </c>
      <c r="E1202" s="1">
        <f t="shared" si="660"/>
        <v>6827737.8000000007</v>
      </c>
      <c r="F1202" s="1">
        <f>804*2035.7</f>
        <v>1636702.8</v>
      </c>
      <c r="G1202" s="1">
        <f>1693*2035.7</f>
        <v>3446440.1</v>
      </c>
      <c r="H1202" s="1">
        <f>390*2035.7</f>
        <v>793923</v>
      </c>
      <c r="I1202" s="1">
        <v>0</v>
      </c>
      <c r="J1202" s="1">
        <f>467*2035.7</f>
        <v>950671.9</v>
      </c>
      <c r="K1202" s="1">
        <v>0</v>
      </c>
      <c r="L1202" s="2">
        <v>0</v>
      </c>
      <c r="M1202" s="1">
        <v>0</v>
      </c>
      <c r="N1202" s="1">
        <v>738</v>
      </c>
      <c r="O1202" s="1">
        <f>N1202*7750</f>
        <v>5719500</v>
      </c>
      <c r="P1202" s="1">
        <v>0</v>
      </c>
      <c r="Q1202" s="1">
        <f t="shared" si="662"/>
        <v>0</v>
      </c>
      <c r="R1202" s="1">
        <v>0</v>
      </c>
      <c r="S1202" s="1">
        <f t="shared" si="661"/>
        <v>0</v>
      </c>
      <c r="T1202" s="1">
        <v>0</v>
      </c>
      <c r="U1202" s="1">
        <v>50000</v>
      </c>
      <c r="V1202" s="1">
        <v>0</v>
      </c>
      <c r="W1202" s="1">
        <v>0</v>
      </c>
      <c r="X1202" s="1">
        <v>0</v>
      </c>
      <c r="Y1202" s="1">
        <v>0</v>
      </c>
      <c r="Z1202" s="1">
        <v>0</v>
      </c>
      <c r="AA1202" s="1">
        <v>0</v>
      </c>
      <c r="AB1202" s="1">
        <v>0</v>
      </c>
      <c r="AC1202" s="1">
        <v>0</v>
      </c>
      <c r="AD1202" s="1">
        <v>0</v>
      </c>
    </row>
    <row r="1203" spans="1:30" s="20" customFormat="1" ht="36" customHeight="1" x14ac:dyDescent="0.25">
      <c r="A1203" s="2">
        <f t="shared" si="659"/>
        <v>1163</v>
      </c>
      <c r="B1203" s="6">
        <f t="shared" si="663"/>
        <v>1163</v>
      </c>
      <c r="C1203" s="19" t="s">
        <v>644</v>
      </c>
      <c r="D1203" s="4">
        <f t="shared" si="658"/>
        <v>15829285.300000001</v>
      </c>
      <c r="E1203" s="1">
        <f t="shared" si="660"/>
        <v>6661714.8000000007</v>
      </c>
      <c r="F1203" s="1">
        <f>804*1986.2</f>
        <v>1596904.8</v>
      </c>
      <c r="G1203" s="1">
        <f>1693*1986.2</f>
        <v>3362636.6</v>
      </c>
      <c r="H1203" s="1">
        <f>390*1986.2</f>
        <v>774618</v>
      </c>
      <c r="I1203" s="1">
        <v>0</v>
      </c>
      <c r="J1203" s="1">
        <f>467*1986.2</f>
        <v>927555.4</v>
      </c>
      <c r="K1203" s="1">
        <v>0</v>
      </c>
      <c r="L1203" s="2">
        <v>0</v>
      </c>
      <c r="M1203" s="1">
        <v>0</v>
      </c>
      <c r="N1203" s="1">
        <v>576.30999999999995</v>
      </c>
      <c r="O1203" s="1">
        <f>N1203*7750</f>
        <v>4466402.5</v>
      </c>
      <c r="P1203" s="1">
        <v>50</v>
      </c>
      <c r="Q1203" s="1">
        <f t="shared" si="662"/>
        <v>70000</v>
      </c>
      <c r="R1203" s="1">
        <v>1168</v>
      </c>
      <c r="S1203" s="1">
        <f t="shared" si="661"/>
        <v>4381168</v>
      </c>
      <c r="T1203" s="1">
        <v>150000</v>
      </c>
      <c r="U1203" s="1">
        <v>50000</v>
      </c>
      <c r="V1203" s="1">
        <v>0</v>
      </c>
      <c r="W1203" s="1">
        <v>50000</v>
      </c>
      <c r="X1203" s="1">
        <v>0</v>
      </c>
      <c r="Y1203" s="1">
        <v>0</v>
      </c>
      <c r="Z1203" s="1">
        <v>0</v>
      </c>
      <c r="AA1203" s="1">
        <v>0</v>
      </c>
      <c r="AB1203" s="1">
        <v>0</v>
      </c>
      <c r="AC1203" s="1">
        <v>0</v>
      </c>
      <c r="AD1203" s="1">
        <v>0</v>
      </c>
    </row>
    <row r="1204" spans="1:30" s="20" customFormat="1" ht="36" customHeight="1" x14ac:dyDescent="0.25">
      <c r="A1204" s="2">
        <f t="shared" si="659"/>
        <v>1164</v>
      </c>
      <c r="B1204" s="6">
        <f>A1204</f>
        <v>1164</v>
      </c>
      <c r="C1204" s="19" t="s">
        <v>2000</v>
      </c>
      <c r="D1204" s="8">
        <f t="shared" si="658"/>
        <v>10700000</v>
      </c>
      <c r="E1204" s="1">
        <f>SUM(F1204:K1204)</f>
        <v>0</v>
      </c>
      <c r="F1204" s="1">
        <v>0</v>
      </c>
      <c r="G1204" s="1">
        <v>0</v>
      </c>
      <c r="H1204" s="1">
        <v>0</v>
      </c>
      <c r="I1204" s="1">
        <v>0</v>
      </c>
      <c r="J1204" s="1">
        <v>0</v>
      </c>
      <c r="K1204" s="1">
        <v>0</v>
      </c>
      <c r="L1204" s="2">
        <v>3</v>
      </c>
      <c r="M1204" s="1">
        <f>L1204*3500000</f>
        <v>10500000</v>
      </c>
      <c r="N1204" s="1">
        <v>0</v>
      </c>
      <c r="O1204" s="1">
        <v>0</v>
      </c>
      <c r="P1204" s="1">
        <v>0</v>
      </c>
      <c r="Q1204" s="1">
        <f>1400*P1204</f>
        <v>0</v>
      </c>
      <c r="R1204" s="1">
        <v>0</v>
      </c>
      <c r="S1204" s="1">
        <f>R1204*3751</f>
        <v>0</v>
      </c>
      <c r="T1204" s="1">
        <v>0</v>
      </c>
      <c r="U1204" s="1">
        <v>200000</v>
      </c>
      <c r="V1204" s="1">
        <v>0</v>
      </c>
      <c r="W1204" s="1">
        <v>0</v>
      </c>
      <c r="X1204" s="1">
        <v>0</v>
      </c>
      <c r="Y1204" s="1">
        <v>0</v>
      </c>
      <c r="Z1204" s="1">
        <v>0</v>
      </c>
      <c r="AA1204" s="1">
        <v>0</v>
      </c>
      <c r="AB1204" s="1">
        <v>0</v>
      </c>
      <c r="AC1204" s="1">
        <v>0</v>
      </c>
      <c r="AD1204" s="1">
        <v>0</v>
      </c>
    </row>
    <row r="1205" spans="1:30" s="20" customFormat="1" ht="36" customHeight="1" x14ac:dyDescent="0.25">
      <c r="A1205" s="2">
        <f t="shared" si="659"/>
        <v>1165</v>
      </c>
      <c r="B1205" s="6">
        <f t="shared" ref="B1205:B1218" si="664">A1205</f>
        <v>1165</v>
      </c>
      <c r="C1205" s="19" t="s">
        <v>645</v>
      </c>
      <c r="D1205" s="4">
        <f t="shared" si="658"/>
        <v>51791.7</v>
      </c>
      <c r="E1205" s="1">
        <f t="shared" si="660"/>
        <v>1791.7</v>
      </c>
      <c r="F1205" s="1">
        <v>0</v>
      </c>
      <c r="G1205" s="1">
        <v>0</v>
      </c>
      <c r="H1205" s="1">
        <v>0</v>
      </c>
      <c r="I1205" s="1">
        <v>0</v>
      </c>
      <c r="J1205" s="1">
        <v>1791.7</v>
      </c>
      <c r="K1205" s="1">
        <v>0</v>
      </c>
      <c r="L1205" s="2">
        <v>0</v>
      </c>
      <c r="M1205" s="1">
        <v>0</v>
      </c>
      <c r="N1205" s="1">
        <v>0</v>
      </c>
      <c r="O1205" s="1">
        <v>0</v>
      </c>
      <c r="P1205" s="1">
        <v>0</v>
      </c>
      <c r="Q1205" s="1">
        <f t="shared" si="662"/>
        <v>0</v>
      </c>
      <c r="R1205" s="1">
        <v>0</v>
      </c>
      <c r="S1205" s="1">
        <f t="shared" si="661"/>
        <v>0</v>
      </c>
      <c r="T1205" s="1">
        <v>0</v>
      </c>
      <c r="U1205" s="1">
        <v>50000</v>
      </c>
      <c r="V1205" s="1">
        <v>0</v>
      </c>
      <c r="W1205" s="1">
        <v>0</v>
      </c>
      <c r="X1205" s="1">
        <v>0</v>
      </c>
      <c r="Y1205" s="1">
        <v>0</v>
      </c>
      <c r="Z1205" s="1">
        <v>0</v>
      </c>
      <c r="AA1205" s="1">
        <v>0</v>
      </c>
      <c r="AB1205" s="1">
        <v>0</v>
      </c>
      <c r="AC1205" s="1">
        <v>0</v>
      </c>
      <c r="AD1205" s="1">
        <v>0</v>
      </c>
    </row>
    <row r="1206" spans="1:30" s="20" customFormat="1" ht="30" customHeight="1" x14ac:dyDescent="0.25">
      <c r="A1206" s="2">
        <f t="shared" si="659"/>
        <v>1166</v>
      </c>
      <c r="B1206" s="6">
        <f>A1206</f>
        <v>1166</v>
      </c>
      <c r="C1206" s="19" t="s">
        <v>1841</v>
      </c>
      <c r="D1206" s="8">
        <f t="shared" si="658"/>
        <v>10700000</v>
      </c>
      <c r="E1206" s="1">
        <f>SUM(F1206:K1206)</f>
        <v>0</v>
      </c>
      <c r="F1206" s="1">
        <v>0</v>
      </c>
      <c r="G1206" s="1">
        <v>0</v>
      </c>
      <c r="H1206" s="1">
        <v>0</v>
      </c>
      <c r="I1206" s="1">
        <v>0</v>
      </c>
      <c r="J1206" s="1">
        <v>0</v>
      </c>
      <c r="K1206" s="1">
        <v>0</v>
      </c>
      <c r="L1206" s="2">
        <v>3</v>
      </c>
      <c r="M1206" s="1">
        <f>L1206*3500000</f>
        <v>10500000</v>
      </c>
      <c r="N1206" s="1">
        <v>0</v>
      </c>
      <c r="O1206" s="1">
        <v>0</v>
      </c>
      <c r="P1206" s="1">
        <v>0</v>
      </c>
      <c r="Q1206" s="1">
        <f>1400*P1206</f>
        <v>0</v>
      </c>
      <c r="R1206" s="1">
        <v>0</v>
      </c>
      <c r="S1206" s="1">
        <f>R1206*3751</f>
        <v>0</v>
      </c>
      <c r="T1206" s="1">
        <v>0</v>
      </c>
      <c r="U1206" s="1">
        <v>200000</v>
      </c>
      <c r="V1206" s="1">
        <v>0</v>
      </c>
      <c r="W1206" s="1">
        <v>0</v>
      </c>
      <c r="X1206" s="1">
        <v>0</v>
      </c>
      <c r="Y1206" s="1">
        <v>0</v>
      </c>
      <c r="Z1206" s="1">
        <v>0</v>
      </c>
      <c r="AA1206" s="1">
        <v>0</v>
      </c>
      <c r="AB1206" s="1">
        <v>0</v>
      </c>
      <c r="AC1206" s="1">
        <v>0</v>
      </c>
      <c r="AD1206" s="1">
        <v>0</v>
      </c>
    </row>
    <row r="1207" spans="1:30" s="20" customFormat="1" ht="36" customHeight="1" x14ac:dyDescent="0.25">
      <c r="A1207" s="2">
        <f t="shared" si="659"/>
        <v>1167</v>
      </c>
      <c r="B1207" s="6">
        <f t="shared" si="664"/>
        <v>1167</v>
      </c>
      <c r="C1207" s="19" t="s">
        <v>646</v>
      </c>
      <c r="D1207" s="4">
        <f t="shared" si="658"/>
        <v>14008660</v>
      </c>
      <c r="E1207" s="1">
        <f t="shared" si="660"/>
        <v>10732800</v>
      </c>
      <c r="F1207" s="1">
        <f>804*3200</f>
        <v>2572800</v>
      </c>
      <c r="G1207" s="1">
        <f>1693*3200</f>
        <v>5417600</v>
      </c>
      <c r="H1207" s="1">
        <f>390*3200</f>
        <v>1248000</v>
      </c>
      <c r="I1207" s="1">
        <v>0</v>
      </c>
      <c r="J1207" s="1">
        <f>467*3200</f>
        <v>1494400</v>
      </c>
      <c r="K1207" s="1">
        <v>0</v>
      </c>
      <c r="L1207" s="2">
        <v>0</v>
      </c>
      <c r="M1207" s="1">
        <v>0</v>
      </c>
      <c r="N1207" s="1">
        <v>0</v>
      </c>
      <c r="O1207" s="1">
        <v>0</v>
      </c>
      <c r="P1207" s="1">
        <v>0</v>
      </c>
      <c r="Q1207" s="1">
        <f t="shared" si="662"/>
        <v>0</v>
      </c>
      <c r="R1207" s="1">
        <v>860</v>
      </c>
      <c r="S1207" s="1">
        <f>R1207*3751</f>
        <v>3225860</v>
      </c>
      <c r="T1207" s="1">
        <v>0</v>
      </c>
      <c r="U1207" s="1">
        <v>50000</v>
      </c>
      <c r="V1207" s="1">
        <v>0</v>
      </c>
      <c r="W1207" s="1">
        <v>0</v>
      </c>
      <c r="X1207" s="1">
        <v>0</v>
      </c>
      <c r="Y1207" s="1">
        <v>0</v>
      </c>
      <c r="Z1207" s="1">
        <v>0</v>
      </c>
      <c r="AA1207" s="1">
        <v>0</v>
      </c>
      <c r="AB1207" s="1">
        <v>0</v>
      </c>
      <c r="AC1207" s="1">
        <v>0</v>
      </c>
      <c r="AD1207" s="1">
        <v>0</v>
      </c>
    </row>
    <row r="1208" spans="1:30" s="20" customFormat="1" ht="36" customHeight="1" x14ac:dyDescent="0.25">
      <c r="A1208" s="2">
        <f t="shared" si="659"/>
        <v>1168</v>
      </c>
      <c r="B1208" s="6">
        <f t="shared" si="664"/>
        <v>1168</v>
      </c>
      <c r="C1208" s="19" t="s">
        <v>647</v>
      </c>
      <c r="D1208" s="4">
        <f t="shared" si="658"/>
        <v>9876950</v>
      </c>
      <c r="E1208" s="1">
        <f t="shared" si="660"/>
        <v>6037200</v>
      </c>
      <c r="F1208" s="1">
        <f>804*1800</f>
        <v>1447200</v>
      </c>
      <c r="G1208" s="1">
        <f>1693*1800</f>
        <v>3047400</v>
      </c>
      <c r="H1208" s="1">
        <f>390*1800</f>
        <v>702000</v>
      </c>
      <c r="I1208" s="1">
        <v>0</v>
      </c>
      <c r="J1208" s="1">
        <f>467*1800</f>
        <v>840600</v>
      </c>
      <c r="K1208" s="1">
        <v>0</v>
      </c>
      <c r="L1208" s="2">
        <v>0</v>
      </c>
      <c r="M1208" s="1">
        <v>0</v>
      </c>
      <c r="N1208" s="1">
        <v>489</v>
      </c>
      <c r="O1208" s="1">
        <f>N1208*7750</f>
        <v>3789750</v>
      </c>
      <c r="P1208" s="1">
        <v>0</v>
      </c>
      <c r="Q1208" s="1">
        <f t="shared" si="662"/>
        <v>0</v>
      </c>
      <c r="R1208" s="1">
        <v>0</v>
      </c>
      <c r="S1208" s="1">
        <f t="shared" si="661"/>
        <v>0</v>
      </c>
      <c r="T1208" s="1">
        <v>0</v>
      </c>
      <c r="U1208" s="1">
        <v>50000</v>
      </c>
      <c r="V1208" s="1">
        <v>0</v>
      </c>
      <c r="W1208" s="1">
        <v>0</v>
      </c>
      <c r="X1208" s="1">
        <v>0</v>
      </c>
      <c r="Y1208" s="1">
        <v>0</v>
      </c>
      <c r="Z1208" s="1">
        <v>0</v>
      </c>
      <c r="AA1208" s="1">
        <v>0</v>
      </c>
      <c r="AB1208" s="1">
        <v>0</v>
      </c>
      <c r="AC1208" s="1">
        <v>0</v>
      </c>
      <c r="AD1208" s="1">
        <v>0</v>
      </c>
    </row>
    <row r="1209" spans="1:30" s="20" customFormat="1" ht="36" customHeight="1" x14ac:dyDescent="0.25">
      <c r="A1209" s="2">
        <f t="shared" si="659"/>
        <v>1169</v>
      </c>
      <c r="B1209" s="6">
        <f t="shared" si="664"/>
        <v>1169</v>
      </c>
      <c r="C1209" s="19" t="s">
        <v>648</v>
      </c>
      <c r="D1209" s="4">
        <f t="shared" si="658"/>
        <v>18808124</v>
      </c>
      <c r="E1209" s="1">
        <f t="shared" si="660"/>
        <v>10618764</v>
      </c>
      <c r="F1209" s="1">
        <f>804*3166</f>
        <v>2545464</v>
      </c>
      <c r="G1209" s="1">
        <f>1693*3166</f>
        <v>5360038</v>
      </c>
      <c r="H1209" s="1">
        <f>390*3166</f>
        <v>1234740</v>
      </c>
      <c r="I1209" s="1">
        <v>0</v>
      </c>
      <c r="J1209" s="1">
        <f>467*3166</f>
        <v>1478522</v>
      </c>
      <c r="K1209" s="1">
        <v>0</v>
      </c>
      <c r="L1209" s="2">
        <v>0</v>
      </c>
      <c r="M1209" s="1">
        <v>0</v>
      </c>
      <c r="N1209" s="1">
        <v>634</v>
      </c>
      <c r="O1209" s="1">
        <f>N1209*7750</f>
        <v>4913500</v>
      </c>
      <c r="P1209" s="1">
        <v>0</v>
      </c>
      <c r="Q1209" s="1">
        <f t="shared" si="662"/>
        <v>0</v>
      </c>
      <c r="R1209" s="1">
        <v>860</v>
      </c>
      <c r="S1209" s="1">
        <f>R1209*3751</f>
        <v>3225860</v>
      </c>
      <c r="T1209" s="1">
        <v>0</v>
      </c>
      <c r="U1209" s="1">
        <v>50000</v>
      </c>
      <c r="V1209" s="1">
        <v>0</v>
      </c>
      <c r="W1209" s="1">
        <v>0</v>
      </c>
      <c r="X1209" s="1">
        <v>0</v>
      </c>
      <c r="Y1209" s="1">
        <v>0</v>
      </c>
      <c r="Z1209" s="1">
        <v>0</v>
      </c>
      <c r="AA1209" s="1">
        <v>0</v>
      </c>
      <c r="AB1209" s="1">
        <v>0</v>
      </c>
      <c r="AC1209" s="1">
        <v>0</v>
      </c>
      <c r="AD1209" s="1">
        <v>0</v>
      </c>
    </row>
    <row r="1210" spans="1:30" s="20" customFormat="1" ht="36" customHeight="1" x14ac:dyDescent="0.25">
      <c r="A1210" s="2">
        <f t="shared" si="659"/>
        <v>1170</v>
      </c>
      <c r="B1210" s="6">
        <f t="shared" si="664"/>
        <v>1170</v>
      </c>
      <c r="C1210" s="19" t="s">
        <v>1825</v>
      </c>
      <c r="D1210" s="4">
        <f t="shared" si="658"/>
        <v>23964104.780000001</v>
      </c>
      <c r="E1210" s="1">
        <f t="shared" si="660"/>
        <v>10049570.000000002</v>
      </c>
      <c r="F1210" s="1">
        <f>804*2560.4</f>
        <v>2058561.6</v>
      </c>
      <c r="G1210" s="1">
        <f>1693*2560.4</f>
        <v>4334757.2</v>
      </c>
      <c r="H1210" s="1">
        <f>390*2560.4</f>
        <v>998556</v>
      </c>
      <c r="I1210" s="1">
        <f>571*2560.4</f>
        <v>1461988.4000000001</v>
      </c>
      <c r="J1210" s="1">
        <f>467*2560.4</f>
        <v>1195706.8</v>
      </c>
      <c r="K1210" s="1">
        <v>0</v>
      </c>
      <c r="L1210" s="2">
        <v>0</v>
      </c>
      <c r="M1210" s="1">
        <v>0</v>
      </c>
      <c r="N1210" s="1">
        <v>1223.26</v>
      </c>
      <c r="O1210" s="1">
        <f>N1210*4968</f>
        <v>6077155.6799999997</v>
      </c>
      <c r="P1210" s="1">
        <v>50</v>
      </c>
      <c r="Q1210" s="1">
        <f t="shared" si="662"/>
        <v>70000</v>
      </c>
      <c r="R1210" s="1">
        <v>2004.1</v>
      </c>
      <c r="S1210" s="1">
        <f t="shared" si="661"/>
        <v>7517379.0999999996</v>
      </c>
      <c r="T1210" s="1">
        <v>150000</v>
      </c>
      <c r="U1210" s="1">
        <v>50000</v>
      </c>
      <c r="V1210" s="1">
        <v>0</v>
      </c>
      <c r="W1210" s="1">
        <v>50000</v>
      </c>
      <c r="X1210" s="1">
        <v>0</v>
      </c>
      <c r="Y1210" s="1">
        <v>0</v>
      </c>
      <c r="Z1210" s="1">
        <v>0</v>
      </c>
      <c r="AA1210" s="1">
        <v>0</v>
      </c>
      <c r="AB1210" s="1">
        <v>0</v>
      </c>
      <c r="AC1210" s="1">
        <v>0</v>
      </c>
      <c r="AD1210" s="1">
        <v>0</v>
      </c>
    </row>
    <row r="1211" spans="1:30" s="20" customFormat="1" ht="36" customHeight="1" x14ac:dyDescent="0.25">
      <c r="A1211" s="2">
        <f t="shared" si="659"/>
        <v>1171</v>
      </c>
      <c r="B1211" s="6">
        <f t="shared" si="664"/>
        <v>1171</v>
      </c>
      <c r="C1211" s="19" t="s">
        <v>1826</v>
      </c>
      <c r="D1211" s="4">
        <f t="shared" si="658"/>
        <v>8740950.4000000004</v>
      </c>
      <c r="E1211" s="1">
        <f t="shared" si="660"/>
        <v>4303852.8000000007</v>
      </c>
      <c r="F1211" s="1">
        <f>804*1283.2</f>
        <v>1031692.8</v>
      </c>
      <c r="G1211" s="1">
        <f>1693*1283.2</f>
        <v>2172457.6</v>
      </c>
      <c r="H1211" s="1">
        <f>390*1283.2</f>
        <v>500448</v>
      </c>
      <c r="I1211" s="1">
        <v>0</v>
      </c>
      <c r="J1211" s="1">
        <f>467*1283.2</f>
        <v>599254.4</v>
      </c>
      <c r="K1211" s="1">
        <v>0</v>
      </c>
      <c r="L1211" s="2">
        <v>0</v>
      </c>
      <c r="M1211" s="1">
        <v>0</v>
      </c>
      <c r="N1211" s="1">
        <v>0</v>
      </c>
      <c r="O1211" s="1">
        <v>0</v>
      </c>
      <c r="P1211" s="1">
        <v>50</v>
      </c>
      <c r="Q1211" s="1">
        <f t="shared" si="662"/>
        <v>70000</v>
      </c>
      <c r="R1211" s="1">
        <v>1097.5999999999999</v>
      </c>
      <c r="S1211" s="1">
        <f t="shared" si="661"/>
        <v>4117097.5999999996</v>
      </c>
      <c r="T1211" s="1">
        <v>150000</v>
      </c>
      <c r="U1211" s="1">
        <v>50000</v>
      </c>
      <c r="V1211" s="1">
        <v>0</v>
      </c>
      <c r="W1211" s="1">
        <v>50000</v>
      </c>
      <c r="X1211" s="1">
        <v>0</v>
      </c>
      <c r="Y1211" s="1">
        <v>0</v>
      </c>
      <c r="Z1211" s="1">
        <v>0</v>
      </c>
      <c r="AA1211" s="1">
        <v>0</v>
      </c>
      <c r="AB1211" s="1">
        <v>0</v>
      </c>
      <c r="AC1211" s="1">
        <v>0</v>
      </c>
      <c r="AD1211" s="1">
        <v>0</v>
      </c>
    </row>
    <row r="1212" spans="1:30" s="20" customFormat="1" ht="36" customHeight="1" x14ac:dyDescent="0.25">
      <c r="A1212" s="2">
        <f t="shared" si="659"/>
        <v>1172</v>
      </c>
      <c r="B1212" s="6">
        <f t="shared" si="664"/>
        <v>1172</v>
      </c>
      <c r="C1212" s="19" t="s">
        <v>649</v>
      </c>
      <c r="D1212" s="4">
        <f t="shared" si="658"/>
        <v>28821206.25</v>
      </c>
      <c r="E1212" s="1">
        <f t="shared" si="660"/>
        <v>10074690</v>
      </c>
      <c r="F1212" s="1">
        <f>804*2566.8</f>
        <v>2063707.2000000002</v>
      </c>
      <c r="G1212" s="1">
        <f>1693*2566.8</f>
        <v>4345592.4000000004</v>
      </c>
      <c r="H1212" s="1">
        <f>390*2566.8</f>
        <v>1001052.0000000001</v>
      </c>
      <c r="I1212" s="1">
        <f>571*2566.8</f>
        <v>1465642.8</v>
      </c>
      <c r="J1212" s="1">
        <f>467*2566.8</f>
        <v>1198695.6000000001</v>
      </c>
      <c r="K1212" s="1">
        <v>0</v>
      </c>
      <c r="L1212" s="2">
        <v>0</v>
      </c>
      <c r="M1212" s="1">
        <v>0</v>
      </c>
      <c r="N1212" s="1">
        <v>1190</v>
      </c>
      <c r="O1212" s="1">
        <f>N1212*7750</f>
        <v>9222500</v>
      </c>
      <c r="P1212" s="1">
        <v>50</v>
      </c>
      <c r="Q1212" s="1">
        <f t="shared" si="662"/>
        <v>70000</v>
      </c>
      <c r="R1212" s="1">
        <v>2453.75</v>
      </c>
      <c r="S1212" s="1">
        <f t="shared" si="661"/>
        <v>9204016.25</v>
      </c>
      <c r="T1212" s="1">
        <v>150000</v>
      </c>
      <c r="U1212" s="1">
        <v>50000</v>
      </c>
      <c r="V1212" s="1">
        <v>0</v>
      </c>
      <c r="W1212" s="1">
        <v>50000</v>
      </c>
      <c r="X1212" s="1">
        <v>0</v>
      </c>
      <c r="Y1212" s="1">
        <v>0</v>
      </c>
      <c r="Z1212" s="1">
        <v>0</v>
      </c>
      <c r="AA1212" s="1">
        <v>0</v>
      </c>
      <c r="AB1212" s="1">
        <v>0</v>
      </c>
      <c r="AC1212" s="1">
        <v>0</v>
      </c>
      <c r="AD1212" s="1">
        <v>0</v>
      </c>
    </row>
    <row r="1213" spans="1:30" s="20" customFormat="1" ht="36" customHeight="1" x14ac:dyDescent="0.25">
      <c r="A1213" s="2">
        <f t="shared" si="659"/>
        <v>1173</v>
      </c>
      <c r="B1213" s="6">
        <f>A1213</f>
        <v>1173</v>
      </c>
      <c r="C1213" s="19" t="s">
        <v>1627</v>
      </c>
      <c r="D1213" s="4">
        <f t="shared" si="658"/>
        <v>2441250</v>
      </c>
      <c r="E1213" s="1">
        <f>SUM(F1213:K1213)</f>
        <v>0</v>
      </c>
      <c r="F1213" s="1">
        <v>0</v>
      </c>
      <c r="G1213" s="1">
        <v>0</v>
      </c>
      <c r="H1213" s="1">
        <v>0</v>
      </c>
      <c r="I1213" s="1">
        <v>0</v>
      </c>
      <c r="J1213" s="1">
        <v>0</v>
      </c>
      <c r="K1213" s="1">
        <v>0</v>
      </c>
      <c r="L1213" s="2">
        <v>0</v>
      </c>
      <c r="M1213" s="1">
        <v>0</v>
      </c>
      <c r="N1213" s="1">
        <v>315</v>
      </c>
      <c r="O1213" s="1">
        <f>N1213*7750</f>
        <v>2441250</v>
      </c>
      <c r="P1213" s="1">
        <v>0</v>
      </c>
      <c r="Q1213" s="1">
        <f>P1213*1400</f>
        <v>0</v>
      </c>
      <c r="R1213" s="1">
        <v>0</v>
      </c>
      <c r="S1213" s="1">
        <f>R1213*3751</f>
        <v>0</v>
      </c>
      <c r="T1213" s="1">
        <v>0</v>
      </c>
      <c r="U1213" s="1">
        <v>0</v>
      </c>
      <c r="V1213" s="1">
        <v>0</v>
      </c>
      <c r="W1213" s="1">
        <v>0</v>
      </c>
      <c r="X1213" s="1">
        <v>0</v>
      </c>
      <c r="Y1213" s="1">
        <v>0</v>
      </c>
      <c r="Z1213" s="1">
        <v>0</v>
      </c>
      <c r="AA1213" s="1">
        <v>0</v>
      </c>
      <c r="AB1213" s="1">
        <v>0</v>
      </c>
      <c r="AC1213" s="1">
        <v>0</v>
      </c>
      <c r="AD1213" s="1">
        <v>0</v>
      </c>
    </row>
    <row r="1214" spans="1:30" s="20" customFormat="1" ht="36" customHeight="1" x14ac:dyDescent="0.25">
      <c r="A1214" s="2">
        <f t="shared" si="659"/>
        <v>1174</v>
      </c>
      <c r="B1214" s="6">
        <f>A1214</f>
        <v>1174</v>
      </c>
      <c r="C1214" s="19" t="s">
        <v>1626</v>
      </c>
      <c r="D1214" s="4">
        <f t="shared" si="658"/>
        <v>1189353.7999999998</v>
      </c>
      <c r="E1214" s="1">
        <f t="shared" si="660"/>
        <v>1139353.7999999998</v>
      </c>
      <c r="F1214" s="1">
        <f>804*339.7</f>
        <v>273118.8</v>
      </c>
      <c r="G1214" s="1">
        <f>1693*339.7</f>
        <v>575112.1</v>
      </c>
      <c r="H1214" s="1">
        <f>390*339.7</f>
        <v>132483</v>
      </c>
      <c r="I1214" s="1">
        <v>0</v>
      </c>
      <c r="J1214" s="1">
        <f>467*339.7</f>
        <v>158639.9</v>
      </c>
      <c r="K1214" s="1">
        <v>0</v>
      </c>
      <c r="L1214" s="2">
        <v>0</v>
      </c>
      <c r="M1214" s="1">
        <v>0</v>
      </c>
      <c r="N1214" s="1">
        <v>0</v>
      </c>
      <c r="O1214" s="1">
        <v>0</v>
      </c>
      <c r="P1214" s="1">
        <v>0</v>
      </c>
      <c r="Q1214" s="1">
        <f t="shared" si="662"/>
        <v>0</v>
      </c>
      <c r="R1214" s="1">
        <v>0</v>
      </c>
      <c r="S1214" s="1">
        <f t="shared" si="661"/>
        <v>0</v>
      </c>
      <c r="T1214" s="1">
        <v>0</v>
      </c>
      <c r="U1214" s="1">
        <v>50000</v>
      </c>
      <c r="V1214" s="1">
        <v>0</v>
      </c>
      <c r="W1214" s="1">
        <v>0</v>
      </c>
      <c r="X1214" s="1">
        <v>0</v>
      </c>
      <c r="Y1214" s="1">
        <v>0</v>
      </c>
      <c r="Z1214" s="1">
        <v>0</v>
      </c>
      <c r="AA1214" s="1">
        <v>0</v>
      </c>
      <c r="AB1214" s="1">
        <v>0</v>
      </c>
      <c r="AC1214" s="1">
        <v>0</v>
      </c>
      <c r="AD1214" s="1">
        <v>0</v>
      </c>
    </row>
    <row r="1215" spans="1:30" s="20" customFormat="1" ht="36" customHeight="1" x14ac:dyDescent="0.25">
      <c r="A1215" s="2">
        <f t="shared" si="659"/>
        <v>1175</v>
      </c>
      <c r="B1215" s="6">
        <f t="shared" si="664"/>
        <v>1175</v>
      </c>
      <c r="C1215" s="19" t="s">
        <v>650</v>
      </c>
      <c r="D1215" s="4">
        <f t="shared" si="658"/>
        <v>8985987.9199999999</v>
      </c>
      <c r="E1215" s="1">
        <f t="shared" si="660"/>
        <v>4576197.6000000006</v>
      </c>
      <c r="F1215" s="1">
        <f>804*1364.4</f>
        <v>1096977.6000000001</v>
      </c>
      <c r="G1215" s="1">
        <f>1693*1364.4</f>
        <v>2309929.2000000002</v>
      </c>
      <c r="H1215" s="1">
        <f>390*1364.4</f>
        <v>532116</v>
      </c>
      <c r="I1215" s="1">
        <v>0</v>
      </c>
      <c r="J1215" s="1">
        <f>467*1364.4</f>
        <v>637174.80000000005</v>
      </c>
      <c r="K1215" s="1">
        <v>0</v>
      </c>
      <c r="L1215" s="2">
        <v>0</v>
      </c>
      <c r="M1215" s="1">
        <v>0</v>
      </c>
      <c r="N1215" s="1">
        <v>0</v>
      </c>
      <c r="O1215" s="1">
        <v>0</v>
      </c>
      <c r="P1215" s="1">
        <v>50</v>
      </c>
      <c r="Q1215" s="1">
        <f t="shared" si="662"/>
        <v>70000</v>
      </c>
      <c r="R1215" s="1">
        <v>1090.32</v>
      </c>
      <c r="S1215" s="1">
        <f t="shared" si="661"/>
        <v>4089790.32</v>
      </c>
      <c r="T1215" s="1">
        <v>150000</v>
      </c>
      <c r="U1215" s="1">
        <v>50000</v>
      </c>
      <c r="V1215" s="1">
        <v>0</v>
      </c>
      <c r="W1215" s="1">
        <v>50000</v>
      </c>
      <c r="X1215" s="1">
        <v>0</v>
      </c>
      <c r="Y1215" s="1">
        <v>0</v>
      </c>
      <c r="Z1215" s="1">
        <v>0</v>
      </c>
      <c r="AA1215" s="1">
        <v>0</v>
      </c>
      <c r="AB1215" s="1">
        <v>0</v>
      </c>
      <c r="AC1215" s="1">
        <v>0</v>
      </c>
      <c r="AD1215" s="1">
        <v>0</v>
      </c>
    </row>
    <row r="1216" spans="1:30" s="20" customFormat="1" ht="36" customHeight="1" x14ac:dyDescent="0.25">
      <c r="A1216" s="2">
        <f t="shared" si="659"/>
        <v>1176</v>
      </c>
      <c r="B1216" s="6">
        <f t="shared" si="664"/>
        <v>1176</v>
      </c>
      <c r="C1216" s="19" t="s">
        <v>651</v>
      </c>
      <c r="D1216" s="4">
        <f t="shared" si="658"/>
        <v>10648127.25</v>
      </c>
      <c r="E1216" s="1">
        <f t="shared" si="660"/>
        <v>6794685.2500000009</v>
      </c>
      <c r="F1216" s="1">
        <f>804*1731.13</f>
        <v>1391828.52</v>
      </c>
      <c r="G1216" s="1">
        <f>1693*1731.13</f>
        <v>2930803.0900000003</v>
      </c>
      <c r="H1216" s="1">
        <f>390*1731.13</f>
        <v>675140.70000000007</v>
      </c>
      <c r="I1216" s="1">
        <f>571*1731.13</f>
        <v>988475.2300000001</v>
      </c>
      <c r="J1216" s="1">
        <f>467*1731.13</f>
        <v>808437.71000000008</v>
      </c>
      <c r="K1216" s="1">
        <v>0</v>
      </c>
      <c r="L1216" s="2">
        <v>0</v>
      </c>
      <c r="M1216" s="1">
        <v>0</v>
      </c>
      <c r="N1216" s="1">
        <v>0</v>
      </c>
      <c r="O1216" s="1">
        <v>0</v>
      </c>
      <c r="P1216" s="1">
        <v>50</v>
      </c>
      <c r="Q1216" s="1">
        <f t="shared" si="662"/>
        <v>70000</v>
      </c>
      <c r="R1216" s="1">
        <v>942</v>
      </c>
      <c r="S1216" s="1">
        <f t="shared" si="661"/>
        <v>3533442</v>
      </c>
      <c r="T1216" s="1">
        <v>150000</v>
      </c>
      <c r="U1216" s="1">
        <v>50000</v>
      </c>
      <c r="V1216" s="1">
        <v>0</v>
      </c>
      <c r="W1216" s="1">
        <v>50000</v>
      </c>
      <c r="X1216" s="1">
        <v>0</v>
      </c>
      <c r="Y1216" s="1">
        <v>0</v>
      </c>
      <c r="Z1216" s="1">
        <v>0</v>
      </c>
      <c r="AA1216" s="1">
        <v>0</v>
      </c>
      <c r="AB1216" s="1">
        <v>0</v>
      </c>
      <c r="AC1216" s="1">
        <v>0</v>
      </c>
      <c r="AD1216" s="1">
        <v>0</v>
      </c>
    </row>
    <row r="1217" spans="1:30" s="20" customFormat="1" ht="36" customHeight="1" x14ac:dyDescent="0.25">
      <c r="A1217" s="2">
        <f t="shared" si="659"/>
        <v>1177</v>
      </c>
      <c r="B1217" s="6">
        <f t="shared" si="664"/>
        <v>1177</v>
      </c>
      <c r="C1217" s="19" t="s">
        <v>652</v>
      </c>
      <c r="D1217" s="4">
        <f t="shared" si="658"/>
        <v>11391438</v>
      </c>
      <c r="E1217" s="1">
        <f t="shared" si="660"/>
        <v>6010368</v>
      </c>
      <c r="F1217" s="1">
        <f>804*1792</f>
        <v>1440768</v>
      </c>
      <c r="G1217" s="1">
        <f>1693*1792</f>
        <v>3033856</v>
      </c>
      <c r="H1217" s="1">
        <f>390*1792</f>
        <v>698880</v>
      </c>
      <c r="I1217" s="1">
        <v>0</v>
      </c>
      <c r="J1217" s="1">
        <f>467*1792</f>
        <v>836864</v>
      </c>
      <c r="K1217" s="1">
        <v>0</v>
      </c>
      <c r="L1217" s="2">
        <v>0</v>
      </c>
      <c r="M1217" s="1">
        <v>0</v>
      </c>
      <c r="N1217" s="1">
        <v>412</v>
      </c>
      <c r="O1217" s="1">
        <f>N1217*7750</f>
        <v>3193000</v>
      </c>
      <c r="P1217" s="1">
        <v>0</v>
      </c>
      <c r="Q1217" s="1">
        <f t="shared" si="662"/>
        <v>0</v>
      </c>
      <c r="R1217" s="1">
        <v>570</v>
      </c>
      <c r="S1217" s="1">
        <f>R1217*3751</f>
        <v>2138070</v>
      </c>
      <c r="T1217" s="1">
        <v>0</v>
      </c>
      <c r="U1217" s="1">
        <v>50000</v>
      </c>
      <c r="V1217" s="1">
        <v>0</v>
      </c>
      <c r="W1217" s="1">
        <v>0</v>
      </c>
      <c r="X1217" s="1">
        <v>0</v>
      </c>
      <c r="Y1217" s="1">
        <v>0</v>
      </c>
      <c r="Z1217" s="1">
        <v>0</v>
      </c>
      <c r="AA1217" s="1">
        <v>0</v>
      </c>
      <c r="AB1217" s="1">
        <v>0</v>
      </c>
      <c r="AC1217" s="1">
        <v>0</v>
      </c>
      <c r="AD1217" s="1">
        <v>0</v>
      </c>
    </row>
    <row r="1218" spans="1:30" s="20" customFormat="1" ht="36" customHeight="1" x14ac:dyDescent="0.25">
      <c r="A1218" s="2">
        <f t="shared" si="659"/>
        <v>1178</v>
      </c>
      <c r="B1218" s="6">
        <f t="shared" si="664"/>
        <v>1178</v>
      </c>
      <c r="C1218" s="19" t="s">
        <v>654</v>
      </c>
      <c r="D1218" s="4">
        <f t="shared" si="658"/>
        <v>4595694.79</v>
      </c>
      <c r="E1218" s="1">
        <f t="shared" si="660"/>
        <v>2336277.75</v>
      </c>
      <c r="F1218" s="1">
        <f>804*595.23</f>
        <v>478564.92000000004</v>
      </c>
      <c r="G1218" s="1">
        <f>1693*595.23</f>
        <v>1007724.39</v>
      </c>
      <c r="H1218" s="1">
        <f>390*595.23</f>
        <v>232139.7</v>
      </c>
      <c r="I1218" s="1">
        <f>571*595.23</f>
        <v>339876.33</v>
      </c>
      <c r="J1218" s="1">
        <f>467*595.23</f>
        <v>277972.41000000003</v>
      </c>
      <c r="K1218" s="1">
        <v>0</v>
      </c>
      <c r="L1218" s="2">
        <v>0</v>
      </c>
      <c r="M1218" s="1">
        <v>0</v>
      </c>
      <c r="N1218" s="1">
        <v>0</v>
      </c>
      <c r="O1218" s="1">
        <v>0</v>
      </c>
      <c r="P1218" s="1">
        <v>50</v>
      </c>
      <c r="Q1218" s="1">
        <f t="shared" si="662"/>
        <v>70000</v>
      </c>
      <c r="R1218" s="1">
        <v>517.04</v>
      </c>
      <c r="S1218" s="1">
        <f t="shared" si="661"/>
        <v>1939417.0399999998</v>
      </c>
      <c r="T1218" s="1">
        <v>150000</v>
      </c>
      <c r="U1218" s="1">
        <v>50000</v>
      </c>
      <c r="V1218" s="1">
        <v>0</v>
      </c>
      <c r="W1218" s="1">
        <v>50000</v>
      </c>
      <c r="X1218" s="1">
        <v>0</v>
      </c>
      <c r="Y1218" s="1">
        <v>0</v>
      </c>
      <c r="Z1218" s="1">
        <v>0</v>
      </c>
      <c r="AA1218" s="1">
        <v>0</v>
      </c>
      <c r="AB1218" s="1">
        <v>0</v>
      </c>
      <c r="AC1218" s="1">
        <v>0</v>
      </c>
      <c r="AD1218" s="1">
        <v>0</v>
      </c>
    </row>
    <row r="1219" spans="1:30" s="20" customFormat="1" ht="36" customHeight="1" x14ac:dyDescent="0.25">
      <c r="A1219" s="2">
        <f t="shared" si="659"/>
        <v>1179</v>
      </c>
      <c r="B1219" s="6">
        <f t="shared" ref="B1219:B1246" si="665">A1219</f>
        <v>1179</v>
      </c>
      <c r="C1219" s="19" t="s">
        <v>655</v>
      </c>
      <c r="D1219" s="4">
        <f t="shared" si="658"/>
        <v>8702683</v>
      </c>
      <c r="E1219" s="1">
        <f t="shared" si="660"/>
        <v>2351075</v>
      </c>
      <c r="F1219" s="1">
        <f>804*599</f>
        <v>481596</v>
      </c>
      <c r="G1219" s="1">
        <f>1693*599</f>
        <v>1014107</v>
      </c>
      <c r="H1219" s="1">
        <f>390*599</f>
        <v>233610</v>
      </c>
      <c r="I1219" s="1">
        <f>571*599</f>
        <v>342029</v>
      </c>
      <c r="J1219" s="1">
        <f>467*599</f>
        <v>279733</v>
      </c>
      <c r="K1219" s="1">
        <v>0</v>
      </c>
      <c r="L1219" s="2">
        <v>0</v>
      </c>
      <c r="M1219" s="1">
        <v>0</v>
      </c>
      <c r="N1219" s="1">
        <v>0</v>
      </c>
      <c r="O1219" s="1">
        <v>0</v>
      </c>
      <c r="P1219" s="1">
        <v>50</v>
      </c>
      <c r="Q1219" s="1">
        <f t="shared" si="662"/>
        <v>70000</v>
      </c>
      <c r="R1219" s="1">
        <v>1608</v>
      </c>
      <c r="S1219" s="1">
        <f t="shared" si="661"/>
        <v>6031608</v>
      </c>
      <c r="T1219" s="1">
        <v>150000</v>
      </c>
      <c r="U1219" s="1">
        <v>50000</v>
      </c>
      <c r="V1219" s="1">
        <v>0</v>
      </c>
      <c r="W1219" s="1">
        <v>50000</v>
      </c>
      <c r="X1219" s="1">
        <v>0</v>
      </c>
      <c r="Y1219" s="1">
        <v>0</v>
      </c>
      <c r="Z1219" s="1">
        <v>0</v>
      </c>
      <c r="AA1219" s="1">
        <v>0</v>
      </c>
      <c r="AB1219" s="1">
        <v>0</v>
      </c>
      <c r="AC1219" s="1">
        <v>0</v>
      </c>
      <c r="AD1219" s="1">
        <v>0</v>
      </c>
    </row>
    <row r="1220" spans="1:30" s="20" customFormat="1" ht="36" customHeight="1" x14ac:dyDescent="0.25">
      <c r="A1220" s="2">
        <f t="shared" si="659"/>
        <v>1180</v>
      </c>
      <c r="B1220" s="6">
        <f t="shared" ref="B1220" si="666">A1220</f>
        <v>1180</v>
      </c>
      <c r="C1220" s="19" t="s">
        <v>1791</v>
      </c>
      <c r="D1220" s="4">
        <f t="shared" si="658"/>
        <v>24029783</v>
      </c>
      <c r="E1220" s="1">
        <f t="shared" ref="E1220" si="667">SUM(F1220:K1220)</f>
        <v>11703783</v>
      </c>
      <c r="F1220" s="1">
        <f>804*3489.5</f>
        <v>2805558</v>
      </c>
      <c r="G1220" s="1">
        <f>1693*3489.5</f>
        <v>5907723.5</v>
      </c>
      <c r="H1220" s="1">
        <f>390*3489.5</f>
        <v>1360905</v>
      </c>
      <c r="I1220" s="1">
        <v>0</v>
      </c>
      <c r="J1220" s="1">
        <f>467*3489.5</f>
        <v>1629596.5</v>
      </c>
      <c r="K1220" s="1">
        <v>0</v>
      </c>
      <c r="L1220" s="2">
        <v>0</v>
      </c>
      <c r="M1220" s="1">
        <v>0</v>
      </c>
      <c r="N1220" s="1">
        <v>1100</v>
      </c>
      <c r="O1220" s="1">
        <f>N1220*7750</f>
        <v>8525000</v>
      </c>
      <c r="P1220" s="1">
        <v>0</v>
      </c>
      <c r="Q1220" s="1">
        <f t="shared" ref="Q1220" si="668">P1220*1400</f>
        <v>0</v>
      </c>
      <c r="R1220" s="1">
        <v>1000</v>
      </c>
      <c r="S1220" s="1">
        <f t="shared" ref="S1220" si="669">R1220*3751</f>
        <v>3751000</v>
      </c>
      <c r="T1220" s="1">
        <v>0</v>
      </c>
      <c r="U1220" s="1">
        <v>50000</v>
      </c>
      <c r="V1220" s="1">
        <v>0</v>
      </c>
      <c r="W1220" s="1">
        <v>0</v>
      </c>
      <c r="X1220" s="1">
        <v>0</v>
      </c>
      <c r="Y1220" s="1">
        <v>0</v>
      </c>
      <c r="Z1220" s="1">
        <v>0</v>
      </c>
      <c r="AA1220" s="1">
        <v>0</v>
      </c>
      <c r="AB1220" s="1">
        <v>0</v>
      </c>
      <c r="AC1220" s="1">
        <v>0</v>
      </c>
      <c r="AD1220" s="1">
        <v>0</v>
      </c>
    </row>
    <row r="1221" spans="1:30" s="20" customFormat="1" ht="36" customHeight="1" x14ac:dyDescent="0.25">
      <c r="A1221" s="2">
        <f t="shared" si="659"/>
        <v>1181</v>
      </c>
      <c r="B1221" s="6">
        <f t="shared" si="665"/>
        <v>1181</v>
      </c>
      <c r="C1221" s="19" t="s">
        <v>656</v>
      </c>
      <c r="D1221" s="4">
        <f t="shared" si="658"/>
        <v>6011407.7400000002</v>
      </c>
      <c r="E1221" s="1">
        <f t="shared" si="660"/>
        <v>4753657.74</v>
      </c>
      <c r="F1221" s="1">
        <f>804*1417.31</f>
        <v>1139517.24</v>
      </c>
      <c r="G1221" s="1">
        <f>1693*1417.31</f>
        <v>2399505.83</v>
      </c>
      <c r="H1221" s="1">
        <f>390*1417.31</f>
        <v>552750.9</v>
      </c>
      <c r="I1221" s="1">
        <v>0</v>
      </c>
      <c r="J1221" s="1">
        <f>467*1417.31</f>
        <v>661883.77</v>
      </c>
      <c r="K1221" s="1">
        <v>0</v>
      </c>
      <c r="L1221" s="2">
        <v>0</v>
      </c>
      <c r="M1221" s="1">
        <v>0</v>
      </c>
      <c r="N1221" s="1">
        <v>0</v>
      </c>
      <c r="O1221" s="1">
        <v>0</v>
      </c>
      <c r="P1221" s="1">
        <v>50</v>
      </c>
      <c r="Q1221" s="1">
        <f t="shared" si="662"/>
        <v>70000</v>
      </c>
      <c r="R1221" s="1">
        <v>250</v>
      </c>
      <c r="S1221" s="1">
        <f t="shared" si="661"/>
        <v>937750</v>
      </c>
      <c r="T1221" s="1">
        <v>150000</v>
      </c>
      <c r="U1221" s="1">
        <v>50000</v>
      </c>
      <c r="V1221" s="1">
        <v>0</v>
      </c>
      <c r="W1221" s="1">
        <v>50000</v>
      </c>
      <c r="X1221" s="1">
        <v>0</v>
      </c>
      <c r="Y1221" s="1">
        <v>0</v>
      </c>
      <c r="Z1221" s="1">
        <v>0</v>
      </c>
      <c r="AA1221" s="1">
        <v>0</v>
      </c>
      <c r="AB1221" s="1">
        <v>0</v>
      </c>
      <c r="AC1221" s="1">
        <v>0</v>
      </c>
      <c r="AD1221" s="1">
        <v>0</v>
      </c>
    </row>
    <row r="1222" spans="1:30" s="20" customFormat="1" ht="36" customHeight="1" x14ac:dyDescent="0.25">
      <c r="A1222" s="2">
        <f t="shared" si="659"/>
        <v>1182</v>
      </c>
      <c r="B1222" s="6">
        <f t="shared" si="665"/>
        <v>1182</v>
      </c>
      <c r="C1222" s="19" t="s">
        <v>657</v>
      </c>
      <c r="D1222" s="4">
        <f t="shared" si="658"/>
        <v>2230002.38</v>
      </c>
      <c r="E1222" s="1">
        <f t="shared" si="660"/>
        <v>1910002.3800000001</v>
      </c>
      <c r="F1222" s="1">
        <f>804*569.47</f>
        <v>457853.88</v>
      </c>
      <c r="G1222" s="1">
        <f>1693*569.47</f>
        <v>964112.71000000008</v>
      </c>
      <c r="H1222" s="1">
        <f>390*569.47</f>
        <v>222093.30000000002</v>
      </c>
      <c r="I1222" s="1">
        <v>0</v>
      </c>
      <c r="J1222" s="1">
        <f>467*569.47</f>
        <v>265942.49</v>
      </c>
      <c r="K1222" s="1">
        <v>0</v>
      </c>
      <c r="L1222" s="2">
        <v>0</v>
      </c>
      <c r="M1222" s="1">
        <v>0</v>
      </c>
      <c r="N1222" s="1">
        <v>0</v>
      </c>
      <c r="O1222" s="1">
        <v>0</v>
      </c>
      <c r="P1222" s="1">
        <v>50</v>
      </c>
      <c r="Q1222" s="1">
        <f t="shared" si="662"/>
        <v>70000</v>
      </c>
      <c r="R1222" s="1">
        <v>0</v>
      </c>
      <c r="S1222" s="1">
        <f t="shared" si="661"/>
        <v>0</v>
      </c>
      <c r="T1222" s="1">
        <v>150000</v>
      </c>
      <c r="U1222" s="1">
        <v>50000</v>
      </c>
      <c r="V1222" s="1">
        <v>0</v>
      </c>
      <c r="W1222" s="1">
        <v>50000</v>
      </c>
      <c r="X1222" s="1">
        <v>0</v>
      </c>
      <c r="Y1222" s="1">
        <v>0</v>
      </c>
      <c r="Z1222" s="1">
        <v>0</v>
      </c>
      <c r="AA1222" s="1">
        <v>0</v>
      </c>
      <c r="AB1222" s="1">
        <v>0</v>
      </c>
      <c r="AC1222" s="1">
        <v>0</v>
      </c>
      <c r="AD1222" s="1">
        <v>0</v>
      </c>
    </row>
    <row r="1223" spans="1:30" s="20" customFormat="1" ht="36" customHeight="1" x14ac:dyDescent="0.25">
      <c r="A1223" s="2">
        <f t="shared" si="659"/>
        <v>1183</v>
      </c>
      <c r="B1223" s="6">
        <f t="shared" si="665"/>
        <v>1183</v>
      </c>
      <c r="C1223" s="19" t="s">
        <v>658</v>
      </c>
      <c r="D1223" s="4">
        <f t="shared" si="658"/>
        <v>10994832.5</v>
      </c>
      <c r="E1223" s="1">
        <f t="shared" si="660"/>
        <v>3102712.5</v>
      </c>
      <c r="F1223" s="1">
        <f>804*790.5</f>
        <v>635562</v>
      </c>
      <c r="G1223" s="1">
        <f>1693*790.5</f>
        <v>1338316.5</v>
      </c>
      <c r="H1223" s="1">
        <f>390*790.5</f>
        <v>308295</v>
      </c>
      <c r="I1223" s="1">
        <f>571*790.5</f>
        <v>451375.5</v>
      </c>
      <c r="J1223" s="1">
        <f>467*790.5</f>
        <v>369163.5</v>
      </c>
      <c r="K1223" s="1">
        <v>0</v>
      </c>
      <c r="L1223" s="2">
        <v>0</v>
      </c>
      <c r="M1223" s="1">
        <v>0</v>
      </c>
      <c r="N1223" s="1">
        <v>565</v>
      </c>
      <c r="O1223" s="1">
        <f>N1223*7750</f>
        <v>4378750</v>
      </c>
      <c r="P1223" s="1">
        <v>0</v>
      </c>
      <c r="Q1223" s="1">
        <f t="shared" si="662"/>
        <v>0</v>
      </c>
      <c r="R1223" s="1">
        <v>870</v>
      </c>
      <c r="S1223" s="1">
        <f t="shared" si="661"/>
        <v>3263370</v>
      </c>
      <c r="T1223" s="1">
        <v>150000</v>
      </c>
      <c r="U1223" s="1">
        <v>50000</v>
      </c>
      <c r="V1223" s="1">
        <v>0</v>
      </c>
      <c r="W1223" s="1">
        <v>50000</v>
      </c>
      <c r="X1223" s="1">
        <v>0</v>
      </c>
      <c r="Y1223" s="1">
        <v>0</v>
      </c>
      <c r="Z1223" s="1">
        <v>0</v>
      </c>
      <c r="AA1223" s="1">
        <v>0</v>
      </c>
      <c r="AB1223" s="1">
        <v>0</v>
      </c>
      <c r="AC1223" s="1">
        <v>0</v>
      </c>
      <c r="AD1223" s="1">
        <v>0</v>
      </c>
    </row>
    <row r="1224" spans="1:30" s="20" customFormat="1" ht="36" customHeight="1" x14ac:dyDescent="0.25">
      <c r="A1224" s="2">
        <f t="shared" si="659"/>
        <v>1184</v>
      </c>
      <c r="B1224" s="6">
        <f>A1224</f>
        <v>1184</v>
      </c>
      <c r="C1224" s="19" t="s">
        <v>661</v>
      </c>
      <c r="D1224" s="4">
        <f t="shared" si="658"/>
        <v>6512192.5999999996</v>
      </c>
      <c r="E1224" s="1">
        <f>SUM(F1224:K1224)</f>
        <v>3187641.5999999996</v>
      </c>
      <c r="F1224" s="1">
        <f>804*950.4</f>
        <v>764121.59999999998</v>
      </c>
      <c r="G1224" s="1">
        <f>1693*950.4</f>
        <v>1609027.2</v>
      </c>
      <c r="H1224" s="1">
        <f>390*950.4</f>
        <v>370656</v>
      </c>
      <c r="I1224" s="1">
        <v>0</v>
      </c>
      <c r="J1224" s="1">
        <f>467*950.4</f>
        <v>443836.8</v>
      </c>
      <c r="K1224" s="1">
        <v>0</v>
      </c>
      <c r="L1224" s="2">
        <v>0</v>
      </c>
      <c r="M1224" s="1">
        <v>0</v>
      </c>
      <c r="N1224" s="1">
        <v>0</v>
      </c>
      <c r="O1224" s="1">
        <v>0</v>
      </c>
      <c r="P1224" s="1">
        <v>50</v>
      </c>
      <c r="Q1224" s="1">
        <f>P1224*1400</f>
        <v>70000</v>
      </c>
      <c r="R1224" s="1">
        <v>801</v>
      </c>
      <c r="S1224" s="1">
        <f>R1224*3751</f>
        <v>3004551</v>
      </c>
      <c r="T1224" s="1">
        <v>150000</v>
      </c>
      <c r="U1224" s="1">
        <v>50000</v>
      </c>
      <c r="V1224" s="1">
        <v>0</v>
      </c>
      <c r="W1224" s="1">
        <v>50000</v>
      </c>
      <c r="X1224" s="1">
        <v>0</v>
      </c>
      <c r="Y1224" s="1">
        <v>0</v>
      </c>
      <c r="Z1224" s="1">
        <v>0</v>
      </c>
      <c r="AA1224" s="1">
        <v>0</v>
      </c>
      <c r="AB1224" s="1">
        <v>0</v>
      </c>
      <c r="AC1224" s="1">
        <v>0</v>
      </c>
      <c r="AD1224" s="1">
        <v>0</v>
      </c>
    </row>
    <row r="1225" spans="1:30" s="20" customFormat="1" ht="36" customHeight="1" x14ac:dyDescent="0.25">
      <c r="A1225" s="2">
        <f t="shared" si="659"/>
        <v>1185</v>
      </c>
      <c r="B1225" s="6">
        <f t="shared" si="665"/>
        <v>1185</v>
      </c>
      <c r="C1225" s="19" t="s">
        <v>659</v>
      </c>
      <c r="D1225" s="4">
        <f t="shared" si="658"/>
        <v>6826489.8000000007</v>
      </c>
      <c r="E1225" s="1">
        <f t="shared" si="660"/>
        <v>3520693.8000000003</v>
      </c>
      <c r="F1225" s="1">
        <f>804*1049.7</f>
        <v>843958.8</v>
      </c>
      <c r="G1225" s="1">
        <f>1693*1049.7</f>
        <v>1777142.1</v>
      </c>
      <c r="H1225" s="1">
        <f>390*1049.7</f>
        <v>409383</v>
      </c>
      <c r="I1225" s="1">
        <v>0</v>
      </c>
      <c r="J1225" s="1">
        <f>467*1049.7</f>
        <v>490209.9</v>
      </c>
      <c r="K1225" s="1">
        <v>0</v>
      </c>
      <c r="L1225" s="2">
        <v>0</v>
      </c>
      <c r="M1225" s="1">
        <v>0</v>
      </c>
      <c r="N1225" s="1">
        <v>0</v>
      </c>
      <c r="O1225" s="1">
        <v>0</v>
      </c>
      <c r="P1225" s="1">
        <v>50</v>
      </c>
      <c r="Q1225" s="1">
        <f t="shared" si="662"/>
        <v>70000</v>
      </c>
      <c r="R1225" s="1">
        <v>796</v>
      </c>
      <c r="S1225" s="1">
        <f t="shared" si="661"/>
        <v>2985796</v>
      </c>
      <c r="T1225" s="1">
        <v>150000</v>
      </c>
      <c r="U1225" s="1">
        <v>50000</v>
      </c>
      <c r="V1225" s="1">
        <v>0</v>
      </c>
      <c r="W1225" s="1">
        <v>50000</v>
      </c>
      <c r="X1225" s="1">
        <v>0</v>
      </c>
      <c r="Y1225" s="1">
        <v>0</v>
      </c>
      <c r="Z1225" s="1">
        <v>0</v>
      </c>
      <c r="AA1225" s="1">
        <v>0</v>
      </c>
      <c r="AB1225" s="1">
        <v>0</v>
      </c>
      <c r="AC1225" s="1">
        <v>0</v>
      </c>
      <c r="AD1225" s="1">
        <v>0</v>
      </c>
    </row>
    <row r="1226" spans="1:30" s="20" customFormat="1" ht="36" customHeight="1" x14ac:dyDescent="0.25">
      <c r="A1226" s="2">
        <f t="shared" si="659"/>
        <v>1186</v>
      </c>
      <c r="B1226" s="6">
        <f t="shared" si="665"/>
        <v>1186</v>
      </c>
      <c r="C1226" s="19" t="s">
        <v>660</v>
      </c>
      <c r="D1226" s="4">
        <f t="shared" ref="D1226:D1257" si="670">E1226+M1226+O1226+Q1226+S1226+T1226+U1226+V1226+W1226+X1226+Z1226+AA1226+AB1226+AC1226+AD1226</f>
        <v>14848171.799999999</v>
      </c>
      <c r="E1226" s="1">
        <f t="shared" si="660"/>
        <v>7401271.7999999989</v>
      </c>
      <c r="F1226" s="1">
        <f>804*2206.7</f>
        <v>1774186.7999999998</v>
      </c>
      <c r="G1226" s="1">
        <f>1693*2206.7</f>
        <v>3735943.0999999996</v>
      </c>
      <c r="H1226" s="1">
        <f>390*2206.7</f>
        <v>860612.99999999988</v>
      </c>
      <c r="I1226" s="1">
        <v>0</v>
      </c>
      <c r="J1226" s="1">
        <f>467*2206.7</f>
        <v>1030528.8999999999</v>
      </c>
      <c r="K1226" s="1">
        <v>0</v>
      </c>
      <c r="L1226" s="2">
        <v>0</v>
      </c>
      <c r="M1226" s="1">
        <v>0</v>
      </c>
      <c r="N1226" s="1">
        <v>0</v>
      </c>
      <c r="O1226" s="1">
        <v>0</v>
      </c>
      <c r="P1226" s="1">
        <v>50</v>
      </c>
      <c r="Q1226" s="1">
        <f t="shared" si="662"/>
        <v>70000</v>
      </c>
      <c r="R1226" s="1">
        <v>1900</v>
      </c>
      <c r="S1226" s="1">
        <f t="shared" si="661"/>
        <v>7126900</v>
      </c>
      <c r="T1226" s="1">
        <v>150000</v>
      </c>
      <c r="U1226" s="1">
        <v>50000</v>
      </c>
      <c r="V1226" s="1">
        <v>0</v>
      </c>
      <c r="W1226" s="1">
        <v>50000</v>
      </c>
      <c r="X1226" s="1">
        <v>0</v>
      </c>
      <c r="Y1226" s="1">
        <v>0</v>
      </c>
      <c r="Z1226" s="1">
        <v>0</v>
      </c>
      <c r="AA1226" s="1">
        <v>0</v>
      </c>
      <c r="AB1226" s="1">
        <v>0</v>
      </c>
      <c r="AC1226" s="1">
        <v>0</v>
      </c>
      <c r="AD1226" s="1">
        <v>0</v>
      </c>
    </row>
    <row r="1227" spans="1:30" s="20" customFormat="1" ht="36" customHeight="1" x14ac:dyDescent="0.25">
      <c r="A1227" s="2">
        <f t="shared" si="659"/>
        <v>1187</v>
      </c>
      <c r="B1227" s="6">
        <f>A1227</f>
        <v>1187</v>
      </c>
      <c r="C1227" s="19" t="s">
        <v>1628</v>
      </c>
      <c r="D1227" s="4">
        <f t="shared" si="670"/>
        <v>8320421.7999999998</v>
      </c>
      <c r="E1227" s="1">
        <f>SUM(F1227:K1227)</f>
        <v>1632391.7999999998</v>
      </c>
      <c r="F1227" s="1">
        <f>804*486.7</f>
        <v>391306.8</v>
      </c>
      <c r="G1227" s="1">
        <f>1693*486.7</f>
        <v>823983.1</v>
      </c>
      <c r="H1227" s="1">
        <f>390*486.7</f>
        <v>189813</v>
      </c>
      <c r="I1227" s="1">
        <v>0</v>
      </c>
      <c r="J1227" s="1">
        <f>467*486.7</f>
        <v>227288.9</v>
      </c>
      <c r="K1227" s="1">
        <v>0</v>
      </c>
      <c r="L1227" s="2">
        <v>0</v>
      </c>
      <c r="M1227" s="1">
        <v>0</v>
      </c>
      <c r="N1227" s="1">
        <v>600</v>
      </c>
      <c r="O1227" s="1">
        <f>N1227*7750</f>
        <v>4650000</v>
      </c>
      <c r="P1227" s="1">
        <v>0</v>
      </c>
      <c r="Q1227" s="1">
        <f>P1227*1400</f>
        <v>0</v>
      </c>
      <c r="R1227" s="1">
        <v>530</v>
      </c>
      <c r="S1227" s="1">
        <f>R1227*3751</f>
        <v>1988030</v>
      </c>
      <c r="T1227" s="1">
        <v>0</v>
      </c>
      <c r="U1227" s="1">
        <v>50000</v>
      </c>
      <c r="V1227" s="1">
        <v>0</v>
      </c>
      <c r="W1227" s="1">
        <v>0</v>
      </c>
      <c r="X1227" s="1">
        <v>0</v>
      </c>
      <c r="Y1227" s="1">
        <v>0</v>
      </c>
      <c r="Z1227" s="1">
        <v>0</v>
      </c>
      <c r="AA1227" s="1">
        <v>0</v>
      </c>
      <c r="AB1227" s="1">
        <v>0</v>
      </c>
      <c r="AC1227" s="1">
        <v>0</v>
      </c>
      <c r="AD1227" s="1">
        <v>0</v>
      </c>
    </row>
    <row r="1228" spans="1:30" s="20" customFormat="1" ht="36" customHeight="1" x14ac:dyDescent="0.25">
      <c r="A1228" s="2">
        <f t="shared" si="659"/>
        <v>1188</v>
      </c>
      <c r="B1228" s="6">
        <f t="shared" si="665"/>
        <v>1188</v>
      </c>
      <c r="C1228" s="19" t="s">
        <v>662</v>
      </c>
      <c r="D1228" s="4">
        <f t="shared" si="670"/>
        <v>8798895</v>
      </c>
      <c r="E1228" s="1">
        <f t="shared" si="660"/>
        <v>2110865</v>
      </c>
      <c r="F1228" s="1">
        <f>804*537.8</f>
        <v>432391.19999999995</v>
      </c>
      <c r="G1228" s="1">
        <f>1693*537.8</f>
        <v>910495.39999999991</v>
      </c>
      <c r="H1228" s="1">
        <f>390*537.8</f>
        <v>209741.99999999997</v>
      </c>
      <c r="I1228" s="1">
        <f>571*537.8</f>
        <v>307083.8</v>
      </c>
      <c r="J1228" s="1">
        <f>467*537.8</f>
        <v>251152.59999999998</v>
      </c>
      <c r="K1228" s="1">
        <v>0</v>
      </c>
      <c r="L1228" s="2">
        <v>0</v>
      </c>
      <c r="M1228" s="1">
        <v>0</v>
      </c>
      <c r="N1228" s="1">
        <v>600</v>
      </c>
      <c r="O1228" s="1">
        <f>N1228*7750</f>
        <v>4650000</v>
      </c>
      <c r="P1228" s="1">
        <v>0</v>
      </c>
      <c r="Q1228" s="1">
        <f t="shared" si="662"/>
        <v>0</v>
      </c>
      <c r="R1228" s="1">
        <v>530</v>
      </c>
      <c r="S1228" s="1">
        <f t="shared" ref="S1228:S1245" si="671">R1228*3751</f>
        <v>1988030</v>
      </c>
      <c r="T1228" s="1">
        <v>0</v>
      </c>
      <c r="U1228" s="1">
        <v>50000</v>
      </c>
      <c r="V1228" s="1">
        <v>0</v>
      </c>
      <c r="W1228" s="1">
        <v>0</v>
      </c>
      <c r="X1228" s="1">
        <v>0</v>
      </c>
      <c r="Y1228" s="1">
        <v>0</v>
      </c>
      <c r="Z1228" s="1">
        <v>0</v>
      </c>
      <c r="AA1228" s="1">
        <v>0</v>
      </c>
      <c r="AB1228" s="1">
        <v>0</v>
      </c>
      <c r="AC1228" s="1">
        <v>0</v>
      </c>
      <c r="AD1228" s="1">
        <v>0</v>
      </c>
    </row>
    <row r="1229" spans="1:30" s="20" customFormat="1" ht="36" customHeight="1" x14ac:dyDescent="0.25">
      <c r="A1229" s="2">
        <f t="shared" si="659"/>
        <v>1189</v>
      </c>
      <c r="B1229" s="6">
        <f>A1229</f>
        <v>1189</v>
      </c>
      <c r="C1229" s="19" t="s">
        <v>1629</v>
      </c>
      <c r="D1229" s="4">
        <f t="shared" si="670"/>
        <v>19930195</v>
      </c>
      <c r="E1229" s="1">
        <f t="shared" si="660"/>
        <v>13242165.000000002</v>
      </c>
      <c r="F1229" s="1">
        <f>804*3373.8</f>
        <v>2712535.2</v>
      </c>
      <c r="G1229" s="1">
        <f>1693*3373.8</f>
        <v>5711843.4000000004</v>
      </c>
      <c r="H1229" s="1">
        <f>390*3373.8</f>
        <v>1315782</v>
      </c>
      <c r="I1229" s="1">
        <f>571*3373.8</f>
        <v>1926439.8</v>
      </c>
      <c r="J1229" s="1">
        <f>467*3373.8</f>
        <v>1575564.6</v>
      </c>
      <c r="K1229" s="1">
        <v>0</v>
      </c>
      <c r="L1229" s="2">
        <v>0</v>
      </c>
      <c r="M1229" s="1">
        <v>0</v>
      </c>
      <c r="N1229" s="1">
        <v>600</v>
      </c>
      <c r="O1229" s="1">
        <f>N1229*7750</f>
        <v>4650000</v>
      </c>
      <c r="P1229" s="1">
        <v>0</v>
      </c>
      <c r="Q1229" s="1">
        <f t="shared" si="662"/>
        <v>0</v>
      </c>
      <c r="R1229" s="1">
        <v>530</v>
      </c>
      <c r="S1229" s="1">
        <f t="shared" si="671"/>
        <v>1988030</v>
      </c>
      <c r="T1229" s="1">
        <v>0</v>
      </c>
      <c r="U1229" s="1">
        <v>50000</v>
      </c>
      <c r="V1229" s="1">
        <v>0</v>
      </c>
      <c r="W1229" s="1">
        <v>0</v>
      </c>
      <c r="X1229" s="1">
        <v>0</v>
      </c>
      <c r="Y1229" s="1">
        <v>0</v>
      </c>
      <c r="Z1229" s="1">
        <v>0</v>
      </c>
      <c r="AA1229" s="1">
        <v>0</v>
      </c>
      <c r="AB1229" s="1">
        <v>0</v>
      </c>
      <c r="AC1229" s="1">
        <v>0</v>
      </c>
      <c r="AD1229" s="1">
        <v>0</v>
      </c>
    </row>
    <row r="1230" spans="1:30" s="20" customFormat="1" ht="36" customHeight="1" x14ac:dyDescent="0.25">
      <c r="A1230" s="2">
        <f t="shared" si="659"/>
        <v>1190</v>
      </c>
      <c r="B1230" s="6">
        <f t="shared" si="665"/>
        <v>1190</v>
      </c>
      <c r="C1230" s="19" t="s">
        <v>663</v>
      </c>
      <c r="D1230" s="4">
        <f t="shared" si="670"/>
        <v>20772365.799999997</v>
      </c>
      <c r="E1230" s="1">
        <f t="shared" si="660"/>
        <v>16326265.799999999</v>
      </c>
      <c r="F1230" s="1">
        <f>804*4867.7</f>
        <v>3913630.8</v>
      </c>
      <c r="G1230" s="1">
        <f>1693*4867.7</f>
        <v>8241016.0999999996</v>
      </c>
      <c r="H1230" s="1">
        <f>390*4867.7</f>
        <v>1898403</v>
      </c>
      <c r="I1230" s="1">
        <v>0</v>
      </c>
      <c r="J1230" s="1">
        <f>467*4867.7</f>
        <v>2273215.9</v>
      </c>
      <c r="K1230" s="1">
        <v>0</v>
      </c>
      <c r="L1230" s="2">
        <v>0</v>
      </c>
      <c r="M1230" s="1">
        <v>0</v>
      </c>
      <c r="N1230" s="1">
        <v>0</v>
      </c>
      <c r="O1230" s="1">
        <f>N1230*4968</f>
        <v>0</v>
      </c>
      <c r="P1230" s="1">
        <v>50</v>
      </c>
      <c r="Q1230" s="1">
        <f t="shared" si="662"/>
        <v>70000</v>
      </c>
      <c r="R1230" s="1">
        <v>1100</v>
      </c>
      <c r="S1230" s="1">
        <f t="shared" si="671"/>
        <v>4126100</v>
      </c>
      <c r="T1230" s="1">
        <v>150000</v>
      </c>
      <c r="U1230" s="1">
        <v>50000</v>
      </c>
      <c r="V1230" s="1">
        <v>0</v>
      </c>
      <c r="W1230" s="1">
        <v>50000</v>
      </c>
      <c r="X1230" s="1">
        <v>0</v>
      </c>
      <c r="Y1230" s="1">
        <v>0</v>
      </c>
      <c r="Z1230" s="1">
        <v>0</v>
      </c>
      <c r="AA1230" s="1">
        <v>0</v>
      </c>
      <c r="AB1230" s="1">
        <v>0</v>
      </c>
      <c r="AC1230" s="1">
        <v>0</v>
      </c>
      <c r="AD1230" s="1">
        <v>0</v>
      </c>
    </row>
    <row r="1231" spans="1:30" s="20" customFormat="1" ht="36" customHeight="1" x14ac:dyDescent="0.25">
      <c r="A1231" s="2">
        <f t="shared" si="659"/>
        <v>1191</v>
      </c>
      <c r="B1231" s="6">
        <f t="shared" si="665"/>
        <v>1191</v>
      </c>
      <c r="C1231" s="19" t="s">
        <v>664</v>
      </c>
      <c r="D1231" s="4">
        <f t="shared" si="670"/>
        <v>20449711</v>
      </c>
      <c r="E1231" s="1">
        <f t="shared" si="660"/>
        <v>16003611</v>
      </c>
      <c r="F1231" s="1">
        <f>804*4771.5</f>
        <v>3836286</v>
      </c>
      <c r="G1231" s="1">
        <f>1693*4771.5</f>
        <v>8078149.5</v>
      </c>
      <c r="H1231" s="1">
        <f>390*4771.5</f>
        <v>1860885</v>
      </c>
      <c r="I1231" s="1">
        <v>0</v>
      </c>
      <c r="J1231" s="1">
        <f>467*4771.5</f>
        <v>2228290.5</v>
      </c>
      <c r="K1231" s="1">
        <v>0</v>
      </c>
      <c r="L1231" s="2">
        <v>0</v>
      </c>
      <c r="M1231" s="1">
        <v>0</v>
      </c>
      <c r="N1231" s="1">
        <v>0</v>
      </c>
      <c r="O1231" s="1">
        <f>N1231*4968</f>
        <v>0</v>
      </c>
      <c r="P1231" s="1">
        <v>50</v>
      </c>
      <c r="Q1231" s="1">
        <f t="shared" si="662"/>
        <v>70000</v>
      </c>
      <c r="R1231" s="1">
        <v>1100</v>
      </c>
      <c r="S1231" s="1">
        <f t="shared" si="671"/>
        <v>4126100</v>
      </c>
      <c r="T1231" s="1">
        <v>150000</v>
      </c>
      <c r="U1231" s="1">
        <v>50000</v>
      </c>
      <c r="V1231" s="1">
        <v>0</v>
      </c>
      <c r="W1231" s="1">
        <v>50000</v>
      </c>
      <c r="X1231" s="1">
        <v>0</v>
      </c>
      <c r="Y1231" s="1">
        <v>0</v>
      </c>
      <c r="Z1231" s="1">
        <v>0</v>
      </c>
      <c r="AA1231" s="1">
        <v>0</v>
      </c>
      <c r="AB1231" s="1">
        <v>0</v>
      </c>
      <c r="AC1231" s="1">
        <v>0</v>
      </c>
      <c r="AD1231" s="1">
        <v>0</v>
      </c>
    </row>
    <row r="1232" spans="1:30" s="20" customFormat="1" ht="36" customHeight="1" x14ac:dyDescent="0.25">
      <c r="A1232" s="2">
        <f t="shared" si="659"/>
        <v>1192</v>
      </c>
      <c r="B1232" s="6">
        <f t="shared" si="665"/>
        <v>1192</v>
      </c>
      <c r="C1232" s="19" t="s">
        <v>665</v>
      </c>
      <c r="D1232" s="4">
        <f t="shared" si="670"/>
        <v>15832068.75</v>
      </c>
      <c r="E1232" s="1">
        <f t="shared" si="660"/>
        <v>10635768.75</v>
      </c>
      <c r="F1232" s="1">
        <f>804*2709.75</f>
        <v>2178639</v>
      </c>
      <c r="G1232" s="1">
        <f>1693*2709.75</f>
        <v>4587606.75</v>
      </c>
      <c r="H1232" s="1">
        <f>390*2709.75</f>
        <v>1056802.5</v>
      </c>
      <c r="I1232" s="1">
        <f>571*2709.75</f>
        <v>1547267.25</v>
      </c>
      <c r="J1232" s="1">
        <f>467*2709.75</f>
        <v>1265453.25</v>
      </c>
      <c r="K1232" s="1">
        <v>0</v>
      </c>
      <c r="L1232" s="2">
        <v>0</v>
      </c>
      <c r="M1232" s="1">
        <v>0</v>
      </c>
      <c r="N1232" s="1">
        <v>0</v>
      </c>
      <c r="O1232" s="1">
        <v>0</v>
      </c>
      <c r="P1232" s="1">
        <v>50</v>
      </c>
      <c r="Q1232" s="1">
        <f t="shared" si="662"/>
        <v>70000</v>
      </c>
      <c r="R1232" s="1">
        <v>1300</v>
      </c>
      <c r="S1232" s="1">
        <f t="shared" si="671"/>
        <v>4876300</v>
      </c>
      <c r="T1232" s="1">
        <v>150000</v>
      </c>
      <c r="U1232" s="1">
        <v>50000</v>
      </c>
      <c r="V1232" s="1">
        <v>0</v>
      </c>
      <c r="W1232" s="1">
        <v>50000</v>
      </c>
      <c r="X1232" s="1">
        <v>0</v>
      </c>
      <c r="Y1232" s="1">
        <v>0</v>
      </c>
      <c r="Z1232" s="1">
        <v>0</v>
      </c>
      <c r="AA1232" s="1">
        <v>0</v>
      </c>
      <c r="AB1232" s="1">
        <v>0</v>
      </c>
      <c r="AC1232" s="1">
        <v>0</v>
      </c>
      <c r="AD1232" s="1">
        <v>0</v>
      </c>
    </row>
    <row r="1233" spans="1:30" s="20" customFormat="1" ht="30" customHeight="1" x14ac:dyDescent="0.25">
      <c r="A1233" s="2">
        <f t="shared" si="659"/>
        <v>1193</v>
      </c>
      <c r="B1233" s="6">
        <f>A1233</f>
        <v>1193</v>
      </c>
      <c r="C1233" s="19" t="s">
        <v>1843</v>
      </c>
      <c r="D1233" s="8">
        <f t="shared" si="670"/>
        <v>10700000</v>
      </c>
      <c r="E1233" s="1">
        <f>SUM(F1233:K1233)</f>
        <v>0</v>
      </c>
      <c r="F1233" s="1">
        <v>0</v>
      </c>
      <c r="G1233" s="1">
        <v>0</v>
      </c>
      <c r="H1233" s="1">
        <v>0</v>
      </c>
      <c r="I1233" s="1">
        <v>0</v>
      </c>
      <c r="J1233" s="1">
        <v>0</v>
      </c>
      <c r="K1233" s="1">
        <v>0</v>
      </c>
      <c r="L1233" s="2">
        <v>3</v>
      </c>
      <c r="M1233" s="1">
        <f>L1233*3500000</f>
        <v>10500000</v>
      </c>
      <c r="N1233" s="1">
        <v>0</v>
      </c>
      <c r="O1233" s="1">
        <v>0</v>
      </c>
      <c r="P1233" s="1">
        <v>0</v>
      </c>
      <c r="Q1233" s="1">
        <f>1400*P1233</f>
        <v>0</v>
      </c>
      <c r="R1233" s="1">
        <v>0</v>
      </c>
      <c r="S1233" s="1">
        <f>R1233*3751</f>
        <v>0</v>
      </c>
      <c r="T1233" s="1">
        <v>0</v>
      </c>
      <c r="U1233" s="1">
        <v>200000</v>
      </c>
      <c r="V1233" s="1">
        <v>0</v>
      </c>
      <c r="W1233" s="1">
        <v>0</v>
      </c>
      <c r="X1233" s="1">
        <v>0</v>
      </c>
      <c r="Y1233" s="1">
        <v>0</v>
      </c>
      <c r="Z1233" s="1">
        <v>0</v>
      </c>
      <c r="AA1233" s="1">
        <v>0</v>
      </c>
      <c r="AB1233" s="1">
        <v>0</v>
      </c>
      <c r="AC1233" s="1">
        <v>0</v>
      </c>
      <c r="AD1233" s="1">
        <v>0</v>
      </c>
    </row>
    <row r="1234" spans="1:30" s="20" customFormat="1" ht="36" customHeight="1" x14ac:dyDescent="0.25">
      <c r="A1234" s="2">
        <f t="shared" si="659"/>
        <v>1194</v>
      </c>
      <c r="B1234" s="6">
        <f>A1234</f>
        <v>1194</v>
      </c>
      <c r="C1234" s="19" t="s">
        <v>666</v>
      </c>
      <c r="D1234" s="4">
        <f t="shared" si="670"/>
        <v>15497207.75</v>
      </c>
      <c r="E1234" s="1">
        <f>SUM(F1234:K1234)</f>
        <v>7824369.75</v>
      </c>
      <c r="F1234" s="1">
        <f>804*1993.47</f>
        <v>1602749.8800000001</v>
      </c>
      <c r="G1234" s="1">
        <f>1693*1993.47</f>
        <v>3374944.71</v>
      </c>
      <c r="H1234" s="1">
        <f>390*1993.47</f>
        <v>777453.3</v>
      </c>
      <c r="I1234" s="1">
        <f>571*1993.47</f>
        <v>1138271.3700000001</v>
      </c>
      <c r="J1234" s="1">
        <f>467*1993.47</f>
        <v>930950.49</v>
      </c>
      <c r="K1234" s="1">
        <v>0</v>
      </c>
      <c r="L1234" s="2">
        <v>0</v>
      </c>
      <c r="M1234" s="1">
        <v>0</v>
      </c>
      <c r="N1234" s="1">
        <v>699</v>
      </c>
      <c r="O1234" s="1">
        <f>N1234*7750</f>
        <v>5417250</v>
      </c>
      <c r="P1234" s="1">
        <v>0</v>
      </c>
      <c r="Q1234" s="1">
        <f>P1234*1400</f>
        <v>0</v>
      </c>
      <c r="R1234" s="1">
        <v>588</v>
      </c>
      <c r="S1234" s="1">
        <f>R1234*3751</f>
        <v>2205588</v>
      </c>
      <c r="T1234" s="1">
        <v>0</v>
      </c>
      <c r="U1234" s="1">
        <v>50000</v>
      </c>
      <c r="V1234" s="1">
        <v>0</v>
      </c>
      <c r="W1234" s="1">
        <v>0</v>
      </c>
      <c r="X1234" s="1">
        <v>0</v>
      </c>
      <c r="Y1234" s="1">
        <v>0</v>
      </c>
      <c r="Z1234" s="1">
        <v>0</v>
      </c>
      <c r="AA1234" s="1">
        <v>0</v>
      </c>
      <c r="AB1234" s="1">
        <v>0</v>
      </c>
      <c r="AC1234" s="1">
        <v>0</v>
      </c>
      <c r="AD1234" s="1">
        <v>0</v>
      </c>
    </row>
    <row r="1235" spans="1:30" s="20" customFormat="1" ht="30" customHeight="1" x14ac:dyDescent="0.25">
      <c r="A1235" s="2">
        <f t="shared" si="659"/>
        <v>1195</v>
      </c>
      <c r="B1235" s="6">
        <f>A1235</f>
        <v>1195</v>
      </c>
      <c r="C1235" s="19" t="s">
        <v>1191</v>
      </c>
      <c r="D1235" s="8">
        <f t="shared" si="670"/>
        <v>7200000</v>
      </c>
      <c r="E1235" s="1">
        <f>SUM(F1235:K1235)</f>
        <v>0</v>
      </c>
      <c r="F1235" s="1">
        <v>0</v>
      </c>
      <c r="G1235" s="1">
        <v>0</v>
      </c>
      <c r="H1235" s="1">
        <v>0</v>
      </c>
      <c r="I1235" s="1">
        <v>0</v>
      </c>
      <c r="J1235" s="1">
        <v>0</v>
      </c>
      <c r="K1235" s="1">
        <v>0</v>
      </c>
      <c r="L1235" s="2">
        <v>2</v>
      </c>
      <c r="M1235" s="1">
        <f>L1235*3500000</f>
        <v>7000000</v>
      </c>
      <c r="N1235" s="1">
        <v>0</v>
      </c>
      <c r="O1235" s="1">
        <v>0</v>
      </c>
      <c r="P1235" s="1">
        <v>0</v>
      </c>
      <c r="Q1235" s="1">
        <f>1400*P1235</f>
        <v>0</v>
      </c>
      <c r="R1235" s="1">
        <v>0</v>
      </c>
      <c r="S1235" s="1">
        <f>R1235*3751</f>
        <v>0</v>
      </c>
      <c r="T1235" s="1">
        <v>0</v>
      </c>
      <c r="U1235" s="1">
        <v>200000</v>
      </c>
      <c r="V1235" s="1">
        <v>0</v>
      </c>
      <c r="W1235" s="1">
        <v>0</v>
      </c>
      <c r="X1235" s="1">
        <v>0</v>
      </c>
      <c r="Y1235" s="1">
        <v>0</v>
      </c>
      <c r="Z1235" s="1">
        <v>0</v>
      </c>
      <c r="AA1235" s="1">
        <v>0</v>
      </c>
      <c r="AB1235" s="1">
        <v>0</v>
      </c>
      <c r="AC1235" s="1">
        <v>0</v>
      </c>
      <c r="AD1235" s="1">
        <v>0</v>
      </c>
    </row>
    <row r="1236" spans="1:30" s="20" customFormat="1" ht="36" customHeight="1" x14ac:dyDescent="0.25">
      <c r="A1236" s="2">
        <f t="shared" si="659"/>
        <v>1196</v>
      </c>
      <c r="B1236" s="6">
        <f t="shared" si="665"/>
        <v>1196</v>
      </c>
      <c r="C1236" s="19" t="s">
        <v>667</v>
      </c>
      <c r="D1236" s="4">
        <f t="shared" si="670"/>
        <v>10171436.300000001</v>
      </c>
      <c r="E1236" s="1">
        <f t="shared" si="660"/>
        <v>1425636.2999999998</v>
      </c>
      <c r="F1236" s="1">
        <f>804*858.3</f>
        <v>690073.2</v>
      </c>
      <c r="G1236" s="1">
        <v>0</v>
      </c>
      <c r="H1236" s="1">
        <f>390*858.3</f>
        <v>334737</v>
      </c>
      <c r="I1236" s="1">
        <v>0</v>
      </c>
      <c r="J1236" s="1">
        <f>467*858.3</f>
        <v>400826.1</v>
      </c>
      <c r="K1236" s="1">
        <v>0</v>
      </c>
      <c r="L1236" s="2">
        <v>0</v>
      </c>
      <c r="M1236" s="1">
        <v>0</v>
      </c>
      <c r="N1236" s="1">
        <v>700</v>
      </c>
      <c r="O1236" s="1">
        <f>N1236*7750</f>
        <v>5425000</v>
      </c>
      <c r="P1236" s="1">
        <v>50</v>
      </c>
      <c r="Q1236" s="1">
        <f t="shared" si="662"/>
        <v>70000</v>
      </c>
      <c r="R1236" s="1">
        <v>800</v>
      </c>
      <c r="S1236" s="1">
        <f t="shared" si="671"/>
        <v>3000800</v>
      </c>
      <c r="T1236" s="1">
        <v>150000</v>
      </c>
      <c r="U1236" s="1">
        <v>50000</v>
      </c>
      <c r="V1236" s="1">
        <v>0</v>
      </c>
      <c r="W1236" s="1">
        <v>50000</v>
      </c>
      <c r="X1236" s="1">
        <v>0</v>
      </c>
      <c r="Y1236" s="1">
        <v>0</v>
      </c>
      <c r="Z1236" s="1">
        <v>0</v>
      </c>
      <c r="AA1236" s="1">
        <v>0</v>
      </c>
      <c r="AB1236" s="1">
        <v>0</v>
      </c>
      <c r="AC1236" s="1">
        <v>0</v>
      </c>
      <c r="AD1236" s="1">
        <v>0</v>
      </c>
    </row>
    <row r="1237" spans="1:30" s="20" customFormat="1" ht="36" customHeight="1" x14ac:dyDescent="0.25">
      <c r="A1237" s="2">
        <f t="shared" si="659"/>
        <v>1197</v>
      </c>
      <c r="B1237" s="6">
        <f t="shared" si="665"/>
        <v>1197</v>
      </c>
      <c r="C1237" s="19" t="s">
        <v>669</v>
      </c>
      <c r="D1237" s="4">
        <f t="shared" si="670"/>
        <v>2287277.5</v>
      </c>
      <c r="E1237" s="1">
        <f t="shared" si="660"/>
        <v>1029527.5000000001</v>
      </c>
      <c r="F1237" s="1">
        <f>804*262.3</f>
        <v>210889.2</v>
      </c>
      <c r="G1237" s="1">
        <f>1693*262.3</f>
        <v>444073.9</v>
      </c>
      <c r="H1237" s="1">
        <f>390*262.3</f>
        <v>102297</v>
      </c>
      <c r="I1237" s="1">
        <f>571*262.3</f>
        <v>149773.30000000002</v>
      </c>
      <c r="J1237" s="1">
        <f>467*262.3</f>
        <v>122494.1</v>
      </c>
      <c r="K1237" s="1">
        <v>0</v>
      </c>
      <c r="L1237" s="2">
        <v>0</v>
      </c>
      <c r="M1237" s="1">
        <v>0</v>
      </c>
      <c r="N1237" s="1">
        <v>0</v>
      </c>
      <c r="O1237" s="1">
        <v>0</v>
      </c>
      <c r="P1237" s="1">
        <v>50</v>
      </c>
      <c r="Q1237" s="1">
        <f t="shared" si="662"/>
        <v>70000</v>
      </c>
      <c r="R1237" s="1">
        <v>250</v>
      </c>
      <c r="S1237" s="1">
        <f t="shared" si="671"/>
        <v>937750</v>
      </c>
      <c r="T1237" s="1">
        <v>150000</v>
      </c>
      <c r="U1237" s="1">
        <v>50000</v>
      </c>
      <c r="V1237" s="1">
        <v>0</v>
      </c>
      <c r="W1237" s="1">
        <v>50000</v>
      </c>
      <c r="X1237" s="1">
        <v>0</v>
      </c>
      <c r="Y1237" s="1">
        <v>0</v>
      </c>
      <c r="Z1237" s="1">
        <v>0</v>
      </c>
      <c r="AA1237" s="1">
        <v>0</v>
      </c>
      <c r="AB1237" s="1">
        <v>0</v>
      </c>
      <c r="AC1237" s="1">
        <v>0</v>
      </c>
      <c r="AD1237" s="1">
        <v>0</v>
      </c>
    </row>
    <row r="1238" spans="1:30" s="20" customFormat="1" ht="36" customHeight="1" x14ac:dyDescent="0.25">
      <c r="A1238" s="2">
        <f t="shared" si="659"/>
        <v>1198</v>
      </c>
      <c r="B1238" s="6">
        <f t="shared" si="665"/>
        <v>1198</v>
      </c>
      <c r="C1238" s="19" t="s">
        <v>670</v>
      </c>
      <c r="D1238" s="4">
        <f t="shared" si="670"/>
        <v>9906855</v>
      </c>
      <c r="E1238" s="1">
        <f t="shared" si="660"/>
        <v>6753354.9999999991</v>
      </c>
      <c r="F1238" s="1">
        <f>804*1720.6</f>
        <v>1383362.4</v>
      </c>
      <c r="G1238" s="1">
        <f>1693*1720.6</f>
        <v>2912975.8</v>
      </c>
      <c r="H1238" s="1">
        <f>390*1720.6</f>
        <v>671034</v>
      </c>
      <c r="I1238" s="1">
        <f>571*1720.6</f>
        <v>982462.6</v>
      </c>
      <c r="J1238" s="1">
        <f>467*1720.6</f>
        <v>803520.2</v>
      </c>
      <c r="K1238" s="1">
        <v>0</v>
      </c>
      <c r="L1238" s="2">
        <v>0</v>
      </c>
      <c r="M1238" s="1">
        <v>0</v>
      </c>
      <c r="N1238" s="1">
        <v>394</v>
      </c>
      <c r="O1238" s="1">
        <f>N1238*7750</f>
        <v>3053500</v>
      </c>
      <c r="P1238" s="1">
        <v>0</v>
      </c>
      <c r="Q1238" s="1">
        <f t="shared" si="662"/>
        <v>0</v>
      </c>
      <c r="R1238" s="1">
        <v>0</v>
      </c>
      <c r="S1238" s="1">
        <f t="shared" si="671"/>
        <v>0</v>
      </c>
      <c r="T1238" s="1">
        <v>0</v>
      </c>
      <c r="U1238" s="1">
        <v>50000</v>
      </c>
      <c r="V1238" s="1">
        <v>0</v>
      </c>
      <c r="W1238" s="1">
        <v>50000</v>
      </c>
      <c r="X1238" s="1">
        <v>0</v>
      </c>
      <c r="Y1238" s="1">
        <v>0</v>
      </c>
      <c r="Z1238" s="1">
        <v>0</v>
      </c>
      <c r="AA1238" s="1">
        <v>0</v>
      </c>
      <c r="AB1238" s="1">
        <v>0</v>
      </c>
      <c r="AC1238" s="1">
        <v>0</v>
      </c>
      <c r="AD1238" s="1">
        <v>0</v>
      </c>
    </row>
    <row r="1239" spans="1:30" s="20" customFormat="1" ht="36" customHeight="1" x14ac:dyDescent="0.25">
      <c r="A1239" s="2">
        <f t="shared" si="659"/>
        <v>1199</v>
      </c>
      <c r="B1239" s="6">
        <f>A1239</f>
        <v>1199</v>
      </c>
      <c r="C1239" s="19" t="s">
        <v>668</v>
      </c>
      <c r="D1239" s="4">
        <f t="shared" si="670"/>
        <v>8215137.5</v>
      </c>
      <c r="E1239" s="1">
        <f>SUM(F1239:K1239)</f>
        <v>7895137.5</v>
      </c>
      <c r="F1239" s="1">
        <f>804*2011.5</f>
        <v>1617246</v>
      </c>
      <c r="G1239" s="1">
        <f>1693*2011.5</f>
        <v>3405469.5</v>
      </c>
      <c r="H1239" s="1">
        <f>390*2011.5</f>
        <v>784485</v>
      </c>
      <c r="I1239" s="1">
        <f>571*2011.5</f>
        <v>1148566.5</v>
      </c>
      <c r="J1239" s="1">
        <f>467*2011.5</f>
        <v>939370.5</v>
      </c>
      <c r="K1239" s="1">
        <v>0</v>
      </c>
      <c r="L1239" s="2">
        <v>0</v>
      </c>
      <c r="M1239" s="1">
        <v>0</v>
      </c>
      <c r="N1239" s="1">
        <v>0</v>
      </c>
      <c r="O1239" s="1">
        <v>0</v>
      </c>
      <c r="P1239" s="1">
        <v>50</v>
      </c>
      <c r="Q1239" s="1">
        <f>P1239*1400</f>
        <v>70000</v>
      </c>
      <c r="R1239" s="1">
        <v>0</v>
      </c>
      <c r="S1239" s="1">
        <f>R1239*3751</f>
        <v>0</v>
      </c>
      <c r="T1239" s="1">
        <v>150000</v>
      </c>
      <c r="U1239" s="1">
        <v>50000</v>
      </c>
      <c r="V1239" s="1">
        <v>0</v>
      </c>
      <c r="W1239" s="1">
        <v>50000</v>
      </c>
      <c r="X1239" s="1">
        <v>0</v>
      </c>
      <c r="Y1239" s="1">
        <v>0</v>
      </c>
      <c r="Z1239" s="1">
        <v>0</v>
      </c>
      <c r="AA1239" s="1">
        <v>0</v>
      </c>
      <c r="AB1239" s="1">
        <v>0</v>
      </c>
      <c r="AC1239" s="1">
        <v>0</v>
      </c>
      <c r="AD1239" s="1">
        <v>0</v>
      </c>
    </row>
    <row r="1240" spans="1:30" s="20" customFormat="1" ht="36" customHeight="1" x14ac:dyDescent="0.25">
      <c r="A1240" s="2">
        <f t="shared" si="659"/>
        <v>1200</v>
      </c>
      <c r="B1240" s="3">
        <f>A1240</f>
        <v>1200</v>
      </c>
      <c r="C1240" s="19" t="s">
        <v>1195</v>
      </c>
      <c r="D1240" s="4">
        <f t="shared" si="670"/>
        <v>60104959.999999993</v>
      </c>
      <c r="E1240" s="1">
        <f>SUM(F1240:K1240)</f>
        <v>41292569.999999993</v>
      </c>
      <c r="F1240" s="1">
        <f>804*10520.4</f>
        <v>8458401.5999999996</v>
      </c>
      <c r="G1240" s="1">
        <f>1693*10520.4</f>
        <v>17811037.199999999</v>
      </c>
      <c r="H1240" s="1">
        <f>390*10520.4</f>
        <v>4102956</v>
      </c>
      <c r="I1240" s="1">
        <f>571*10520.4</f>
        <v>6007148.3999999994</v>
      </c>
      <c r="J1240" s="1">
        <f>467*10520.4</f>
        <v>4913026.8</v>
      </c>
      <c r="K1240" s="1">
        <v>0</v>
      </c>
      <c r="L1240" s="2">
        <v>0</v>
      </c>
      <c r="M1240" s="1">
        <f>L1240*3500000</f>
        <v>0</v>
      </c>
      <c r="N1240" s="1">
        <v>0</v>
      </c>
      <c r="O1240" s="1">
        <v>0</v>
      </c>
      <c r="P1240" s="1">
        <v>50</v>
      </c>
      <c r="Q1240" s="1">
        <f>P1240*1400</f>
        <v>70000</v>
      </c>
      <c r="R1240" s="1">
        <v>4890</v>
      </c>
      <c r="S1240" s="1">
        <f>R1240*3751</f>
        <v>18342390</v>
      </c>
      <c r="T1240" s="1">
        <v>150000</v>
      </c>
      <c r="U1240" s="1">
        <v>200000</v>
      </c>
      <c r="V1240" s="1">
        <v>0</v>
      </c>
      <c r="W1240" s="1">
        <v>50000</v>
      </c>
      <c r="X1240" s="1">
        <v>0</v>
      </c>
      <c r="Y1240" s="1">
        <v>0</v>
      </c>
      <c r="Z1240" s="1">
        <v>0</v>
      </c>
      <c r="AA1240" s="1">
        <v>0</v>
      </c>
      <c r="AB1240" s="1">
        <v>0</v>
      </c>
      <c r="AC1240" s="1">
        <v>0</v>
      </c>
      <c r="AD1240" s="1">
        <v>0</v>
      </c>
    </row>
    <row r="1241" spans="1:30" s="20" customFormat="1" ht="36" customHeight="1" x14ac:dyDescent="0.25">
      <c r="A1241" s="2">
        <f t="shared" si="659"/>
        <v>1201</v>
      </c>
      <c r="B1241" s="6">
        <f>A1241</f>
        <v>1201</v>
      </c>
      <c r="C1241" s="19" t="s">
        <v>1958</v>
      </c>
      <c r="D1241" s="4">
        <f t="shared" si="670"/>
        <v>4017910</v>
      </c>
      <c r="E1241" s="1">
        <f>SUM(F1241:K1241)</f>
        <v>0</v>
      </c>
      <c r="F1241" s="1">
        <v>0</v>
      </c>
      <c r="G1241" s="1">
        <v>0</v>
      </c>
      <c r="H1241" s="1">
        <v>0</v>
      </c>
      <c r="I1241" s="1">
        <v>0</v>
      </c>
      <c r="J1241" s="1">
        <v>0</v>
      </c>
      <c r="K1241" s="1">
        <v>0</v>
      </c>
      <c r="L1241" s="2">
        <v>0</v>
      </c>
      <c r="M1241" s="1">
        <v>0</v>
      </c>
      <c r="N1241" s="1">
        <v>320</v>
      </c>
      <c r="O1241" s="1">
        <f>N1241*7750</f>
        <v>2480000</v>
      </c>
      <c r="P1241" s="1">
        <v>0</v>
      </c>
      <c r="Q1241" s="1">
        <f>P1241*1400</f>
        <v>0</v>
      </c>
      <c r="R1241" s="1">
        <v>410</v>
      </c>
      <c r="S1241" s="1">
        <f>R1241*3751</f>
        <v>1537910</v>
      </c>
      <c r="T1241" s="1">
        <v>0</v>
      </c>
      <c r="U1241" s="1">
        <v>0</v>
      </c>
      <c r="V1241" s="1">
        <v>0</v>
      </c>
      <c r="W1241" s="1">
        <v>0</v>
      </c>
      <c r="X1241" s="1">
        <v>0</v>
      </c>
      <c r="Y1241" s="1">
        <v>0</v>
      </c>
      <c r="Z1241" s="1">
        <v>0</v>
      </c>
      <c r="AA1241" s="1">
        <v>0</v>
      </c>
      <c r="AB1241" s="1">
        <v>0</v>
      </c>
      <c r="AC1241" s="1">
        <v>0</v>
      </c>
      <c r="AD1241" s="1">
        <v>0</v>
      </c>
    </row>
    <row r="1242" spans="1:30" s="20" customFormat="1" ht="36" customHeight="1" x14ac:dyDescent="0.25">
      <c r="A1242" s="2">
        <f t="shared" si="659"/>
        <v>1202</v>
      </c>
      <c r="B1242" s="6">
        <f t="shared" si="665"/>
        <v>1202</v>
      </c>
      <c r="C1242" s="19" t="s">
        <v>671</v>
      </c>
      <c r="D1242" s="4">
        <f t="shared" si="670"/>
        <v>19590585</v>
      </c>
      <c r="E1242" s="1">
        <f t="shared" si="660"/>
        <v>13644084.999999998</v>
      </c>
      <c r="F1242" s="1">
        <f>804*3476.2</f>
        <v>2794864.8</v>
      </c>
      <c r="G1242" s="1">
        <f>1693*3476.2</f>
        <v>5885206.5999999996</v>
      </c>
      <c r="H1242" s="1">
        <f>390*3476.2</f>
        <v>1355718</v>
      </c>
      <c r="I1242" s="1">
        <f>571*3476.2</f>
        <v>1984910.2</v>
      </c>
      <c r="J1242" s="1">
        <f>467*3476.2</f>
        <v>1623385.4</v>
      </c>
      <c r="K1242" s="1">
        <v>0</v>
      </c>
      <c r="L1242" s="2">
        <v>0</v>
      </c>
      <c r="M1242" s="1">
        <v>0</v>
      </c>
      <c r="N1242" s="1">
        <v>0</v>
      </c>
      <c r="O1242" s="1">
        <v>0</v>
      </c>
      <c r="P1242" s="1">
        <v>50</v>
      </c>
      <c r="Q1242" s="1">
        <f t="shared" si="662"/>
        <v>70000</v>
      </c>
      <c r="R1242" s="1">
        <v>1500</v>
      </c>
      <c r="S1242" s="1">
        <f t="shared" si="671"/>
        <v>5626500</v>
      </c>
      <c r="T1242" s="1">
        <v>150000</v>
      </c>
      <c r="U1242" s="1">
        <v>50000</v>
      </c>
      <c r="V1242" s="1">
        <v>0</v>
      </c>
      <c r="W1242" s="1">
        <v>50000</v>
      </c>
      <c r="X1242" s="1">
        <v>0</v>
      </c>
      <c r="Y1242" s="1">
        <v>0</v>
      </c>
      <c r="Z1242" s="1">
        <v>0</v>
      </c>
      <c r="AA1242" s="1">
        <v>0</v>
      </c>
      <c r="AB1242" s="1">
        <v>0</v>
      </c>
      <c r="AC1242" s="1">
        <v>0</v>
      </c>
      <c r="AD1242" s="1">
        <v>0</v>
      </c>
    </row>
    <row r="1243" spans="1:30" s="20" customFormat="1" ht="36" customHeight="1" x14ac:dyDescent="0.25">
      <c r="A1243" s="2">
        <f t="shared" si="659"/>
        <v>1203</v>
      </c>
      <c r="B1243" s="6">
        <f t="shared" si="665"/>
        <v>1203</v>
      </c>
      <c r="C1243" s="19" t="s">
        <v>672</v>
      </c>
      <c r="D1243" s="4">
        <f t="shared" si="670"/>
        <v>16871817</v>
      </c>
      <c r="E1243" s="1">
        <f t="shared" si="660"/>
        <v>16701816.999999998</v>
      </c>
      <c r="F1243" s="1">
        <f>804*4255.24</f>
        <v>3421212.96</v>
      </c>
      <c r="G1243" s="1">
        <f>1693*4255.24</f>
        <v>7204121.3199999994</v>
      </c>
      <c r="H1243" s="1">
        <f>390*4255.24</f>
        <v>1659543.5999999999</v>
      </c>
      <c r="I1243" s="1">
        <f>571*4255.24</f>
        <v>2429742.04</v>
      </c>
      <c r="J1243" s="1">
        <f>467*4255.24</f>
        <v>1987197.0799999998</v>
      </c>
      <c r="K1243" s="1">
        <v>0</v>
      </c>
      <c r="L1243" s="2">
        <v>0</v>
      </c>
      <c r="M1243" s="1">
        <v>0</v>
      </c>
      <c r="N1243" s="1">
        <v>0</v>
      </c>
      <c r="O1243" s="1">
        <v>0</v>
      </c>
      <c r="P1243" s="1">
        <v>50</v>
      </c>
      <c r="Q1243" s="1">
        <f t="shared" si="662"/>
        <v>70000</v>
      </c>
      <c r="R1243" s="1">
        <v>0</v>
      </c>
      <c r="S1243" s="1">
        <f t="shared" si="671"/>
        <v>0</v>
      </c>
      <c r="T1243" s="1">
        <v>0</v>
      </c>
      <c r="U1243" s="1">
        <v>50000</v>
      </c>
      <c r="V1243" s="1">
        <v>0</v>
      </c>
      <c r="W1243" s="1">
        <v>50000</v>
      </c>
      <c r="X1243" s="1">
        <v>0</v>
      </c>
      <c r="Y1243" s="1">
        <v>0</v>
      </c>
      <c r="Z1243" s="1">
        <v>0</v>
      </c>
      <c r="AA1243" s="1">
        <v>0</v>
      </c>
      <c r="AB1243" s="1">
        <v>0</v>
      </c>
      <c r="AC1243" s="1">
        <v>0</v>
      </c>
      <c r="AD1243" s="1">
        <v>0</v>
      </c>
    </row>
    <row r="1244" spans="1:30" s="20" customFormat="1" ht="36" customHeight="1" x14ac:dyDescent="0.25">
      <c r="A1244" s="2">
        <f t="shared" si="659"/>
        <v>1204</v>
      </c>
      <c r="B1244" s="2">
        <f t="shared" si="665"/>
        <v>1204</v>
      </c>
      <c r="C1244" s="19" t="s">
        <v>673</v>
      </c>
      <c r="D1244" s="39">
        <f t="shared" si="670"/>
        <v>2015614.2</v>
      </c>
      <c r="E1244" s="1">
        <f t="shared" si="660"/>
        <v>765294.2</v>
      </c>
      <c r="F1244" s="1">
        <v>0</v>
      </c>
      <c r="G1244" s="1">
        <f>1693*367.4</f>
        <v>622008.19999999995</v>
      </c>
      <c r="H1244" s="1">
        <f>390*367.4</f>
        <v>143286</v>
      </c>
      <c r="I1244" s="1">
        <v>0</v>
      </c>
      <c r="J1244" s="1">
        <v>0</v>
      </c>
      <c r="K1244" s="1">
        <v>0</v>
      </c>
      <c r="L1244" s="2">
        <v>0</v>
      </c>
      <c r="M1244" s="1">
        <v>0</v>
      </c>
      <c r="N1244" s="1">
        <v>0</v>
      </c>
      <c r="O1244" s="1">
        <v>0</v>
      </c>
      <c r="P1244" s="1">
        <v>0</v>
      </c>
      <c r="Q1244" s="1">
        <f t="shared" si="662"/>
        <v>0</v>
      </c>
      <c r="R1244" s="1">
        <v>320</v>
      </c>
      <c r="S1244" s="1">
        <f t="shared" si="671"/>
        <v>1200320</v>
      </c>
      <c r="T1244" s="1">
        <v>0</v>
      </c>
      <c r="U1244" s="1">
        <v>50000</v>
      </c>
      <c r="V1244" s="1">
        <v>0</v>
      </c>
      <c r="W1244" s="1">
        <v>0</v>
      </c>
      <c r="X1244" s="1">
        <v>0</v>
      </c>
      <c r="Y1244" s="1">
        <v>0</v>
      </c>
      <c r="Z1244" s="1">
        <v>0</v>
      </c>
      <c r="AA1244" s="1">
        <v>0</v>
      </c>
      <c r="AB1244" s="1">
        <v>0</v>
      </c>
      <c r="AC1244" s="1">
        <v>0</v>
      </c>
      <c r="AD1244" s="1">
        <v>0</v>
      </c>
    </row>
    <row r="1245" spans="1:30" s="20" customFormat="1" ht="36" customHeight="1" x14ac:dyDescent="0.25">
      <c r="A1245" s="2">
        <f t="shared" si="659"/>
        <v>1205</v>
      </c>
      <c r="B1245" s="2">
        <f t="shared" si="665"/>
        <v>1205</v>
      </c>
      <c r="C1245" s="19" t="s">
        <v>674</v>
      </c>
      <c r="D1245" s="39">
        <f t="shared" si="670"/>
        <v>4709173.3</v>
      </c>
      <c r="E1245" s="1">
        <f t="shared" si="660"/>
        <v>1056353.2999999998</v>
      </c>
      <c r="F1245" s="1">
        <f>804*365.9</f>
        <v>294183.59999999998</v>
      </c>
      <c r="G1245" s="1">
        <f>1693*365.9</f>
        <v>619468.69999999995</v>
      </c>
      <c r="H1245" s="1">
        <f>390*365.9</f>
        <v>142701</v>
      </c>
      <c r="I1245" s="1">
        <v>0</v>
      </c>
      <c r="J1245" s="1">
        <v>0</v>
      </c>
      <c r="K1245" s="1">
        <v>0</v>
      </c>
      <c r="L1245" s="2">
        <v>0</v>
      </c>
      <c r="M1245" s="1">
        <v>0</v>
      </c>
      <c r="N1245" s="1">
        <v>310</v>
      </c>
      <c r="O1245" s="1">
        <f t="shared" ref="O1245:O1251" si="672">N1245*7750</f>
        <v>2402500</v>
      </c>
      <c r="P1245" s="1">
        <v>0</v>
      </c>
      <c r="Q1245" s="1">
        <f t="shared" si="662"/>
        <v>0</v>
      </c>
      <c r="R1245" s="1">
        <v>320</v>
      </c>
      <c r="S1245" s="1">
        <f t="shared" si="671"/>
        <v>1200320</v>
      </c>
      <c r="T1245" s="1">
        <v>0</v>
      </c>
      <c r="U1245" s="1">
        <v>50000</v>
      </c>
      <c r="V1245" s="1">
        <v>0</v>
      </c>
      <c r="W1245" s="1">
        <v>0</v>
      </c>
      <c r="X1245" s="1">
        <v>0</v>
      </c>
      <c r="Y1245" s="1">
        <v>0</v>
      </c>
      <c r="Z1245" s="1">
        <v>0</v>
      </c>
      <c r="AA1245" s="1">
        <v>0</v>
      </c>
      <c r="AB1245" s="1">
        <v>0</v>
      </c>
      <c r="AC1245" s="1">
        <v>0</v>
      </c>
      <c r="AD1245" s="1">
        <v>0</v>
      </c>
    </row>
    <row r="1246" spans="1:30" s="20" customFormat="1" ht="36" customHeight="1" x14ac:dyDescent="0.25">
      <c r="A1246" s="2">
        <f t="shared" si="659"/>
        <v>1206</v>
      </c>
      <c r="B1246" s="6">
        <f t="shared" si="665"/>
        <v>1206</v>
      </c>
      <c r="C1246" s="19" t="s">
        <v>2481</v>
      </c>
      <c r="D1246" s="4">
        <f t="shared" si="670"/>
        <v>4678341.4000000004</v>
      </c>
      <c r="E1246" s="1">
        <f t="shared" si="660"/>
        <v>322484.40000000002</v>
      </c>
      <c r="F1246" s="1">
        <f>804*401.1</f>
        <v>322484.40000000002</v>
      </c>
      <c r="G1246" s="1">
        <v>0</v>
      </c>
      <c r="H1246" s="1">
        <v>0</v>
      </c>
      <c r="I1246" s="1">
        <v>0</v>
      </c>
      <c r="J1246" s="1">
        <v>0</v>
      </c>
      <c r="K1246" s="1">
        <v>0</v>
      </c>
      <c r="L1246" s="2">
        <v>0</v>
      </c>
      <c r="M1246" s="1">
        <v>0</v>
      </c>
      <c r="N1246" s="1">
        <v>357</v>
      </c>
      <c r="O1246" s="1">
        <f t="shared" si="672"/>
        <v>2766750</v>
      </c>
      <c r="P1246" s="1">
        <v>0</v>
      </c>
      <c r="Q1246" s="1">
        <f t="shared" si="662"/>
        <v>0</v>
      </c>
      <c r="R1246" s="1">
        <v>357</v>
      </c>
      <c r="S1246" s="1">
        <f t="shared" ref="S1246:S1253" si="673">R1246*3751</f>
        <v>1339107</v>
      </c>
      <c r="T1246" s="1">
        <v>150000</v>
      </c>
      <c r="U1246" s="1">
        <v>50000</v>
      </c>
      <c r="V1246" s="1">
        <v>0</v>
      </c>
      <c r="W1246" s="1">
        <v>50000</v>
      </c>
      <c r="X1246" s="1">
        <v>0</v>
      </c>
      <c r="Y1246" s="1">
        <v>0</v>
      </c>
      <c r="Z1246" s="1">
        <v>0</v>
      </c>
      <c r="AA1246" s="1">
        <v>0</v>
      </c>
      <c r="AB1246" s="1">
        <v>0</v>
      </c>
      <c r="AC1246" s="1">
        <v>0</v>
      </c>
      <c r="AD1246" s="1">
        <v>0</v>
      </c>
    </row>
    <row r="1247" spans="1:30" s="20" customFormat="1" ht="36" customHeight="1" x14ac:dyDescent="0.25">
      <c r="A1247" s="2">
        <f t="shared" si="659"/>
        <v>1207</v>
      </c>
      <c r="B1247" s="6">
        <f t="shared" ref="B1247:B1268" si="674">A1247</f>
        <v>1207</v>
      </c>
      <c r="C1247" s="24" t="s">
        <v>676</v>
      </c>
      <c r="D1247" s="4">
        <f t="shared" si="670"/>
        <v>7231978</v>
      </c>
      <c r="E1247" s="1">
        <f t="shared" si="660"/>
        <v>684018</v>
      </c>
      <c r="F1247" s="1">
        <f>804*572.4</f>
        <v>460209.6</v>
      </c>
      <c r="G1247" s="1">
        <v>0</v>
      </c>
      <c r="H1247" s="1">
        <f>390*572.4</f>
        <v>223236</v>
      </c>
      <c r="I1247" s="1">
        <v>0</v>
      </c>
      <c r="J1247" s="1">
        <v>572.4</v>
      </c>
      <c r="K1247" s="1">
        <v>0</v>
      </c>
      <c r="L1247" s="2">
        <v>0</v>
      </c>
      <c r="M1247" s="1">
        <v>0</v>
      </c>
      <c r="N1247" s="1">
        <v>590</v>
      </c>
      <c r="O1247" s="1">
        <f t="shared" si="672"/>
        <v>4572500</v>
      </c>
      <c r="P1247" s="1">
        <v>0</v>
      </c>
      <c r="Q1247" s="1">
        <f t="shared" si="662"/>
        <v>0</v>
      </c>
      <c r="R1247" s="1">
        <v>460</v>
      </c>
      <c r="S1247" s="1">
        <f t="shared" si="673"/>
        <v>1725460</v>
      </c>
      <c r="T1247" s="1">
        <v>150000</v>
      </c>
      <c r="U1247" s="1">
        <v>50000</v>
      </c>
      <c r="V1247" s="1">
        <v>0</v>
      </c>
      <c r="W1247" s="1">
        <v>50000</v>
      </c>
      <c r="X1247" s="1">
        <v>0</v>
      </c>
      <c r="Y1247" s="1">
        <v>0</v>
      </c>
      <c r="Z1247" s="1">
        <v>0</v>
      </c>
      <c r="AA1247" s="1">
        <v>0</v>
      </c>
      <c r="AB1247" s="1">
        <v>0</v>
      </c>
      <c r="AC1247" s="1">
        <v>0</v>
      </c>
      <c r="AD1247" s="1">
        <v>0</v>
      </c>
    </row>
    <row r="1248" spans="1:30" s="20" customFormat="1" ht="36" customHeight="1" x14ac:dyDescent="0.25">
      <c r="A1248" s="2">
        <f t="shared" si="659"/>
        <v>1208</v>
      </c>
      <c r="B1248" s="6">
        <f t="shared" si="674"/>
        <v>1208</v>
      </c>
      <c r="C1248" s="24" t="s">
        <v>677</v>
      </c>
      <c r="D1248" s="4">
        <f t="shared" si="670"/>
        <v>7236543.2999999998</v>
      </c>
      <c r="E1248" s="1">
        <f t="shared" si="660"/>
        <v>1038623.2999999999</v>
      </c>
      <c r="F1248" s="1">
        <f>804*625.3</f>
        <v>502741.19999999995</v>
      </c>
      <c r="G1248" s="1">
        <v>0</v>
      </c>
      <c r="H1248" s="1">
        <f>390*625.3</f>
        <v>243866.99999999997</v>
      </c>
      <c r="I1248" s="1">
        <v>0</v>
      </c>
      <c r="J1248" s="1">
        <f>467*625.3</f>
        <v>292015.09999999998</v>
      </c>
      <c r="K1248" s="1">
        <v>0</v>
      </c>
      <c r="L1248" s="2">
        <v>0</v>
      </c>
      <c r="M1248" s="1">
        <v>0</v>
      </c>
      <c r="N1248" s="1">
        <v>590</v>
      </c>
      <c r="O1248" s="1">
        <f t="shared" si="672"/>
        <v>4572500</v>
      </c>
      <c r="P1248" s="1">
        <v>0</v>
      </c>
      <c r="Q1248" s="1">
        <f t="shared" si="662"/>
        <v>0</v>
      </c>
      <c r="R1248" s="1">
        <v>420</v>
      </c>
      <c r="S1248" s="1">
        <f t="shared" si="673"/>
        <v>1575420</v>
      </c>
      <c r="T1248" s="1">
        <v>0</v>
      </c>
      <c r="U1248" s="1">
        <v>50000</v>
      </c>
      <c r="V1248" s="1">
        <v>0</v>
      </c>
      <c r="W1248" s="1">
        <v>0</v>
      </c>
      <c r="X1248" s="1">
        <v>0</v>
      </c>
      <c r="Y1248" s="1">
        <v>0</v>
      </c>
      <c r="Z1248" s="1">
        <v>0</v>
      </c>
      <c r="AA1248" s="1">
        <v>0</v>
      </c>
      <c r="AB1248" s="1">
        <v>0</v>
      </c>
      <c r="AC1248" s="1">
        <v>0</v>
      </c>
      <c r="AD1248" s="1">
        <v>0</v>
      </c>
    </row>
    <row r="1249" spans="1:30" s="20" customFormat="1" ht="36" customHeight="1" x14ac:dyDescent="0.25">
      <c r="A1249" s="2">
        <f t="shared" si="659"/>
        <v>1209</v>
      </c>
      <c r="B1249" s="6">
        <f>A1249</f>
        <v>1209</v>
      </c>
      <c r="C1249" s="24" t="s">
        <v>675</v>
      </c>
      <c r="D1249" s="4">
        <f t="shared" si="670"/>
        <v>4351743.4000000004</v>
      </c>
      <c r="E1249" s="1">
        <f>SUM(F1249:K1249)</f>
        <v>680013.39999999991</v>
      </c>
      <c r="F1249" s="1">
        <f>804*409.4</f>
        <v>329157.59999999998</v>
      </c>
      <c r="G1249" s="1">
        <v>0</v>
      </c>
      <c r="H1249" s="1">
        <f>390*409.4</f>
        <v>159666</v>
      </c>
      <c r="I1249" s="1">
        <v>0</v>
      </c>
      <c r="J1249" s="1">
        <f>467*409.4</f>
        <v>191189.8</v>
      </c>
      <c r="K1249" s="1">
        <v>0</v>
      </c>
      <c r="L1249" s="2">
        <v>0</v>
      </c>
      <c r="M1249" s="1">
        <v>0</v>
      </c>
      <c r="N1249" s="1">
        <v>356</v>
      </c>
      <c r="O1249" s="1">
        <f>N1249*7750</f>
        <v>2759000</v>
      </c>
      <c r="P1249" s="1">
        <v>0</v>
      </c>
      <c r="Q1249" s="1">
        <f>P1249*1400</f>
        <v>0</v>
      </c>
      <c r="R1249" s="1">
        <v>230</v>
      </c>
      <c r="S1249" s="1">
        <f>R1249*3751</f>
        <v>862730</v>
      </c>
      <c r="T1249" s="1">
        <v>0</v>
      </c>
      <c r="U1249" s="1">
        <v>50000</v>
      </c>
      <c r="V1249" s="1">
        <v>0</v>
      </c>
      <c r="W1249" s="1">
        <v>0</v>
      </c>
      <c r="X1249" s="1">
        <v>0</v>
      </c>
      <c r="Y1249" s="1">
        <v>0</v>
      </c>
      <c r="Z1249" s="1">
        <v>0</v>
      </c>
      <c r="AA1249" s="1">
        <v>0</v>
      </c>
      <c r="AB1249" s="1">
        <v>0</v>
      </c>
      <c r="AC1249" s="1">
        <v>0</v>
      </c>
      <c r="AD1249" s="1">
        <v>0</v>
      </c>
    </row>
    <row r="1250" spans="1:30" s="20" customFormat="1" ht="36" customHeight="1" x14ac:dyDescent="0.25">
      <c r="A1250" s="2">
        <f t="shared" si="659"/>
        <v>1210</v>
      </c>
      <c r="B1250" s="6">
        <f>A1250</f>
        <v>1210</v>
      </c>
      <c r="C1250" s="19" t="s">
        <v>2482</v>
      </c>
      <c r="D1250" s="4">
        <f t="shared" si="670"/>
        <v>1872482.4</v>
      </c>
      <c r="E1250" s="1">
        <f>SUM(F1250:K1250)</f>
        <v>322082.40000000002</v>
      </c>
      <c r="F1250" s="1">
        <f>804*400.6</f>
        <v>322082.40000000002</v>
      </c>
      <c r="G1250" s="1">
        <v>0</v>
      </c>
      <c r="H1250" s="1">
        <v>0</v>
      </c>
      <c r="I1250" s="1">
        <v>0</v>
      </c>
      <c r="J1250" s="1">
        <v>0</v>
      </c>
      <c r="K1250" s="1">
        <v>0</v>
      </c>
      <c r="L1250" s="2">
        <v>0</v>
      </c>
      <c r="M1250" s="1">
        <v>0</v>
      </c>
      <c r="N1250" s="1">
        <v>0</v>
      </c>
      <c r="O1250" s="1">
        <v>0</v>
      </c>
      <c r="P1250" s="1">
        <v>0</v>
      </c>
      <c r="Q1250" s="1">
        <f>P1250*1400</f>
        <v>0</v>
      </c>
      <c r="R1250" s="1">
        <v>400</v>
      </c>
      <c r="S1250" s="1">
        <f>R1250*3751</f>
        <v>1500400</v>
      </c>
      <c r="T1250" s="1">
        <v>0</v>
      </c>
      <c r="U1250" s="1">
        <v>50000</v>
      </c>
      <c r="V1250" s="1">
        <v>0</v>
      </c>
      <c r="W1250" s="1">
        <v>0</v>
      </c>
      <c r="X1250" s="1">
        <v>0</v>
      </c>
      <c r="Y1250" s="1">
        <v>0</v>
      </c>
      <c r="Z1250" s="1">
        <v>0</v>
      </c>
      <c r="AA1250" s="1">
        <v>0</v>
      </c>
      <c r="AB1250" s="1">
        <v>0</v>
      </c>
      <c r="AC1250" s="1">
        <v>0</v>
      </c>
      <c r="AD1250" s="1">
        <v>0</v>
      </c>
    </row>
    <row r="1251" spans="1:30" s="20" customFormat="1" ht="36" customHeight="1" x14ac:dyDescent="0.25">
      <c r="A1251" s="2">
        <f t="shared" si="659"/>
        <v>1211</v>
      </c>
      <c r="B1251" s="6">
        <f t="shared" si="674"/>
        <v>1211</v>
      </c>
      <c r="C1251" s="19" t="s">
        <v>2483</v>
      </c>
      <c r="D1251" s="4">
        <f t="shared" si="670"/>
        <v>3046369</v>
      </c>
      <c r="E1251" s="1">
        <f t="shared" si="660"/>
        <v>1558539</v>
      </c>
      <c r="F1251" s="1">
        <f>804*397.08</f>
        <v>319252.32</v>
      </c>
      <c r="G1251" s="1">
        <f>1693*397.08</f>
        <v>672256.44</v>
      </c>
      <c r="H1251" s="1">
        <f>390*397.08</f>
        <v>154861.19999999998</v>
      </c>
      <c r="I1251" s="1">
        <f>571*397.08</f>
        <v>226732.68</v>
      </c>
      <c r="J1251" s="1">
        <f>467*397.08</f>
        <v>185436.36</v>
      </c>
      <c r="K1251" s="1">
        <v>0</v>
      </c>
      <c r="L1251" s="2">
        <v>0</v>
      </c>
      <c r="M1251" s="1">
        <v>0</v>
      </c>
      <c r="N1251" s="1">
        <v>0</v>
      </c>
      <c r="O1251" s="1">
        <f t="shared" si="672"/>
        <v>0</v>
      </c>
      <c r="P1251" s="1">
        <v>0</v>
      </c>
      <c r="Q1251" s="1">
        <f t="shared" si="662"/>
        <v>0</v>
      </c>
      <c r="R1251" s="1">
        <v>330</v>
      </c>
      <c r="S1251" s="1">
        <f t="shared" si="673"/>
        <v>1237830</v>
      </c>
      <c r="T1251" s="1">
        <v>150000</v>
      </c>
      <c r="U1251" s="1">
        <v>50000</v>
      </c>
      <c r="V1251" s="1">
        <v>0</v>
      </c>
      <c r="W1251" s="1">
        <v>50000</v>
      </c>
      <c r="X1251" s="1">
        <v>0</v>
      </c>
      <c r="Y1251" s="1">
        <v>0</v>
      </c>
      <c r="Z1251" s="1">
        <v>0</v>
      </c>
      <c r="AA1251" s="1">
        <v>0</v>
      </c>
      <c r="AB1251" s="1">
        <v>0</v>
      </c>
      <c r="AC1251" s="1">
        <v>0</v>
      </c>
      <c r="AD1251" s="1">
        <v>0</v>
      </c>
    </row>
    <row r="1252" spans="1:30" s="20" customFormat="1" ht="36" customHeight="1" x14ac:dyDescent="0.25">
      <c r="A1252" s="2">
        <f t="shared" si="659"/>
        <v>1212</v>
      </c>
      <c r="B1252" s="6">
        <f t="shared" si="674"/>
        <v>1212</v>
      </c>
      <c r="C1252" s="19" t="s">
        <v>2484</v>
      </c>
      <c r="D1252" s="4">
        <f t="shared" si="670"/>
        <v>1733733.4</v>
      </c>
      <c r="E1252" s="1">
        <f t="shared" si="660"/>
        <v>245903.40000000002</v>
      </c>
      <c r="F1252" s="1">
        <f>804*305.85</f>
        <v>245903.40000000002</v>
      </c>
      <c r="G1252" s="1">
        <v>0</v>
      </c>
      <c r="H1252" s="1">
        <v>0</v>
      </c>
      <c r="I1252" s="1">
        <v>0</v>
      </c>
      <c r="J1252" s="1">
        <v>0</v>
      </c>
      <c r="K1252" s="1">
        <v>0</v>
      </c>
      <c r="L1252" s="2">
        <v>0</v>
      </c>
      <c r="M1252" s="1">
        <v>0</v>
      </c>
      <c r="N1252" s="1">
        <v>0</v>
      </c>
      <c r="O1252" s="1">
        <v>0</v>
      </c>
      <c r="P1252" s="1">
        <v>0</v>
      </c>
      <c r="Q1252" s="1">
        <f t="shared" si="662"/>
        <v>0</v>
      </c>
      <c r="R1252" s="1">
        <v>330</v>
      </c>
      <c r="S1252" s="1">
        <f t="shared" si="673"/>
        <v>1237830</v>
      </c>
      <c r="T1252" s="1">
        <v>150000</v>
      </c>
      <c r="U1252" s="1">
        <v>50000</v>
      </c>
      <c r="V1252" s="1">
        <v>0</v>
      </c>
      <c r="W1252" s="1">
        <v>50000</v>
      </c>
      <c r="X1252" s="1">
        <v>0</v>
      </c>
      <c r="Y1252" s="1">
        <v>0</v>
      </c>
      <c r="Z1252" s="1">
        <v>0</v>
      </c>
      <c r="AA1252" s="1">
        <v>0</v>
      </c>
      <c r="AB1252" s="1">
        <v>0</v>
      </c>
      <c r="AC1252" s="1">
        <v>0</v>
      </c>
      <c r="AD1252" s="1">
        <v>0</v>
      </c>
    </row>
    <row r="1253" spans="1:30" s="20" customFormat="1" ht="36" customHeight="1" x14ac:dyDescent="0.25">
      <c r="A1253" s="2">
        <f t="shared" si="659"/>
        <v>1213</v>
      </c>
      <c r="B1253" s="6">
        <f t="shared" si="674"/>
        <v>1213</v>
      </c>
      <c r="C1253" s="19" t="s">
        <v>2485</v>
      </c>
      <c r="D1253" s="4">
        <f t="shared" si="670"/>
        <v>3424320.75</v>
      </c>
      <c r="E1253" s="1">
        <f t="shared" si="660"/>
        <v>2086490.7500000002</v>
      </c>
      <c r="F1253" s="1">
        <f>804*531.59</f>
        <v>427398.36000000004</v>
      </c>
      <c r="G1253" s="1">
        <f>1693*531.59</f>
        <v>899981.87000000011</v>
      </c>
      <c r="H1253" s="1">
        <f>390*531.59</f>
        <v>207320.1</v>
      </c>
      <c r="I1253" s="1">
        <f>571*531.59</f>
        <v>303537.89</v>
      </c>
      <c r="J1253" s="1">
        <f>467*531.59</f>
        <v>248252.53000000003</v>
      </c>
      <c r="K1253" s="1">
        <v>0</v>
      </c>
      <c r="L1253" s="2">
        <v>0</v>
      </c>
      <c r="M1253" s="1">
        <v>0</v>
      </c>
      <c r="N1253" s="1">
        <v>0</v>
      </c>
      <c r="O1253" s="1">
        <v>0</v>
      </c>
      <c r="P1253" s="1">
        <v>0</v>
      </c>
      <c r="Q1253" s="1">
        <f t="shared" si="662"/>
        <v>0</v>
      </c>
      <c r="R1253" s="1">
        <v>330</v>
      </c>
      <c r="S1253" s="1">
        <f t="shared" si="673"/>
        <v>1237830</v>
      </c>
      <c r="T1253" s="1">
        <v>0</v>
      </c>
      <c r="U1253" s="1">
        <v>50000</v>
      </c>
      <c r="V1253" s="1">
        <v>0</v>
      </c>
      <c r="W1253" s="1">
        <v>50000</v>
      </c>
      <c r="X1253" s="1">
        <v>0</v>
      </c>
      <c r="Y1253" s="1">
        <v>0</v>
      </c>
      <c r="Z1253" s="1">
        <v>0</v>
      </c>
      <c r="AA1253" s="1">
        <v>0</v>
      </c>
      <c r="AB1253" s="1">
        <v>0</v>
      </c>
      <c r="AC1253" s="1">
        <v>0</v>
      </c>
      <c r="AD1253" s="1">
        <v>0</v>
      </c>
    </row>
    <row r="1254" spans="1:30" s="20" customFormat="1" ht="36" customHeight="1" x14ac:dyDescent="0.25">
      <c r="A1254" s="2">
        <f t="shared" si="659"/>
        <v>1214</v>
      </c>
      <c r="B1254" s="6">
        <f t="shared" si="674"/>
        <v>1214</v>
      </c>
      <c r="C1254" s="19" t="s">
        <v>2486</v>
      </c>
      <c r="D1254" s="4">
        <f t="shared" si="670"/>
        <v>3691116</v>
      </c>
      <c r="E1254" s="1">
        <f t="shared" si="660"/>
        <v>750936</v>
      </c>
      <c r="F1254" s="1">
        <f>804*934</f>
        <v>750936</v>
      </c>
      <c r="G1254" s="1">
        <v>0</v>
      </c>
      <c r="H1254" s="1">
        <v>0</v>
      </c>
      <c r="I1254" s="1">
        <v>0</v>
      </c>
      <c r="J1254" s="1">
        <v>0</v>
      </c>
      <c r="K1254" s="1">
        <v>0</v>
      </c>
      <c r="L1254" s="2">
        <v>0</v>
      </c>
      <c r="M1254" s="1">
        <v>0</v>
      </c>
      <c r="N1254" s="1">
        <v>260</v>
      </c>
      <c r="O1254" s="1">
        <f>N1254*7750</f>
        <v>2015000</v>
      </c>
      <c r="P1254" s="1">
        <v>0</v>
      </c>
      <c r="Q1254" s="1">
        <f t="shared" si="662"/>
        <v>0</v>
      </c>
      <c r="R1254" s="1">
        <v>180</v>
      </c>
      <c r="S1254" s="1">
        <f t="shared" ref="S1254:S1268" si="675">R1254*3751</f>
        <v>675180</v>
      </c>
      <c r="T1254" s="1">
        <v>150000</v>
      </c>
      <c r="U1254" s="1">
        <v>50000</v>
      </c>
      <c r="V1254" s="1">
        <v>0</v>
      </c>
      <c r="W1254" s="1">
        <v>50000</v>
      </c>
      <c r="X1254" s="1">
        <v>0</v>
      </c>
      <c r="Y1254" s="1">
        <v>0</v>
      </c>
      <c r="Z1254" s="1">
        <v>0</v>
      </c>
      <c r="AA1254" s="1">
        <v>0</v>
      </c>
      <c r="AB1254" s="1">
        <v>0</v>
      </c>
      <c r="AC1254" s="1">
        <v>0</v>
      </c>
      <c r="AD1254" s="1">
        <v>0</v>
      </c>
    </row>
    <row r="1255" spans="1:30" s="20" customFormat="1" ht="36" customHeight="1" x14ac:dyDescent="0.25">
      <c r="A1255" s="2">
        <f t="shared" si="659"/>
        <v>1215</v>
      </c>
      <c r="B1255" s="6">
        <f t="shared" si="674"/>
        <v>1215</v>
      </c>
      <c r="C1255" s="19" t="s">
        <v>678</v>
      </c>
      <c r="D1255" s="4">
        <f t="shared" si="670"/>
        <v>1583809.5999999999</v>
      </c>
      <c r="E1255" s="1">
        <f t="shared" si="660"/>
        <v>1483809.5999999999</v>
      </c>
      <c r="F1255" s="1">
        <f>804*442.4</f>
        <v>355689.6</v>
      </c>
      <c r="G1255" s="1">
        <f>1693*442.4</f>
        <v>748983.2</v>
      </c>
      <c r="H1255" s="1">
        <f>390*442.4</f>
        <v>172536</v>
      </c>
      <c r="I1255" s="1">
        <v>0</v>
      </c>
      <c r="J1255" s="1">
        <f>467*442.4</f>
        <v>206600.8</v>
      </c>
      <c r="K1255" s="1">
        <v>0</v>
      </c>
      <c r="L1255" s="2">
        <v>0</v>
      </c>
      <c r="M1255" s="1">
        <v>0</v>
      </c>
      <c r="N1255" s="1">
        <v>0</v>
      </c>
      <c r="O1255" s="1">
        <v>0</v>
      </c>
      <c r="P1255" s="1">
        <v>0</v>
      </c>
      <c r="Q1255" s="1">
        <f t="shared" si="662"/>
        <v>0</v>
      </c>
      <c r="R1255" s="1">
        <v>0</v>
      </c>
      <c r="S1255" s="1">
        <f t="shared" si="675"/>
        <v>0</v>
      </c>
      <c r="T1255" s="1">
        <v>0</v>
      </c>
      <c r="U1255" s="1">
        <v>50000</v>
      </c>
      <c r="V1255" s="1">
        <v>0</v>
      </c>
      <c r="W1255" s="1">
        <v>50000</v>
      </c>
      <c r="X1255" s="1">
        <v>0</v>
      </c>
      <c r="Y1255" s="1">
        <v>0</v>
      </c>
      <c r="Z1255" s="1">
        <v>0</v>
      </c>
      <c r="AA1255" s="1">
        <v>0</v>
      </c>
      <c r="AB1255" s="1">
        <v>0</v>
      </c>
      <c r="AC1255" s="1">
        <v>0</v>
      </c>
      <c r="AD1255" s="1">
        <v>0</v>
      </c>
    </row>
    <row r="1256" spans="1:30" s="20" customFormat="1" ht="36" customHeight="1" x14ac:dyDescent="0.25">
      <c r="A1256" s="2">
        <f t="shared" si="659"/>
        <v>1216</v>
      </c>
      <c r="B1256" s="6">
        <f t="shared" si="674"/>
        <v>1216</v>
      </c>
      <c r="C1256" s="19" t="s">
        <v>679</v>
      </c>
      <c r="D1256" s="4">
        <f t="shared" si="670"/>
        <v>1117939</v>
      </c>
      <c r="E1256" s="1">
        <f t="shared" si="660"/>
        <v>1017939</v>
      </c>
      <c r="F1256" s="1">
        <f>804*303.5</f>
        <v>244014</v>
      </c>
      <c r="G1256" s="1">
        <f>1693*303.5</f>
        <v>513825.5</v>
      </c>
      <c r="H1256" s="1">
        <f>390*303.5</f>
        <v>118365</v>
      </c>
      <c r="I1256" s="1">
        <v>0</v>
      </c>
      <c r="J1256" s="1">
        <f>467*303.5</f>
        <v>141734.5</v>
      </c>
      <c r="K1256" s="1">
        <v>0</v>
      </c>
      <c r="L1256" s="2">
        <v>0</v>
      </c>
      <c r="M1256" s="1">
        <v>0</v>
      </c>
      <c r="N1256" s="1">
        <v>0</v>
      </c>
      <c r="O1256" s="1">
        <v>0</v>
      </c>
      <c r="P1256" s="1">
        <v>0</v>
      </c>
      <c r="Q1256" s="1">
        <f t="shared" si="662"/>
        <v>0</v>
      </c>
      <c r="R1256" s="1">
        <v>0</v>
      </c>
      <c r="S1256" s="1">
        <f t="shared" si="675"/>
        <v>0</v>
      </c>
      <c r="T1256" s="1">
        <v>0</v>
      </c>
      <c r="U1256" s="1">
        <v>50000</v>
      </c>
      <c r="V1256" s="1">
        <v>0</v>
      </c>
      <c r="W1256" s="1">
        <v>50000</v>
      </c>
      <c r="X1256" s="1">
        <v>0</v>
      </c>
      <c r="Y1256" s="1">
        <v>0</v>
      </c>
      <c r="Z1256" s="1">
        <v>0</v>
      </c>
      <c r="AA1256" s="1">
        <v>0</v>
      </c>
      <c r="AB1256" s="1">
        <v>0</v>
      </c>
      <c r="AC1256" s="1">
        <v>0</v>
      </c>
      <c r="AD1256" s="1">
        <v>0</v>
      </c>
    </row>
    <row r="1257" spans="1:30" s="20" customFormat="1" ht="36" customHeight="1" x14ac:dyDescent="0.25">
      <c r="A1257" s="2">
        <f t="shared" si="659"/>
        <v>1217</v>
      </c>
      <c r="B1257" s="6">
        <f t="shared" si="674"/>
        <v>1217</v>
      </c>
      <c r="C1257" s="19" t="s">
        <v>680</v>
      </c>
      <c r="D1257" s="4">
        <f t="shared" si="670"/>
        <v>1578510.28</v>
      </c>
      <c r="E1257" s="1">
        <f t="shared" si="660"/>
        <v>1478510.28</v>
      </c>
      <c r="F1257" s="1">
        <f>804*440.82</f>
        <v>354419.27999999997</v>
      </c>
      <c r="G1257" s="1">
        <f>1693*440.82</f>
        <v>746308.26</v>
      </c>
      <c r="H1257" s="1">
        <f>390*440.82</f>
        <v>171919.8</v>
      </c>
      <c r="I1257" s="1">
        <v>0</v>
      </c>
      <c r="J1257" s="1">
        <f>467*440.82</f>
        <v>205862.94</v>
      </c>
      <c r="K1257" s="1">
        <v>0</v>
      </c>
      <c r="L1257" s="2">
        <v>0</v>
      </c>
      <c r="M1257" s="1">
        <v>0</v>
      </c>
      <c r="N1257" s="1">
        <v>0</v>
      </c>
      <c r="O1257" s="1">
        <v>0</v>
      </c>
      <c r="P1257" s="1">
        <v>0</v>
      </c>
      <c r="Q1257" s="1">
        <f t="shared" si="662"/>
        <v>0</v>
      </c>
      <c r="R1257" s="1">
        <v>0</v>
      </c>
      <c r="S1257" s="1">
        <f t="shared" si="675"/>
        <v>0</v>
      </c>
      <c r="T1257" s="1">
        <v>0</v>
      </c>
      <c r="U1257" s="1">
        <v>50000</v>
      </c>
      <c r="V1257" s="1">
        <v>0</v>
      </c>
      <c r="W1257" s="1">
        <v>50000</v>
      </c>
      <c r="X1257" s="1">
        <v>0</v>
      </c>
      <c r="Y1257" s="1">
        <v>0</v>
      </c>
      <c r="Z1257" s="1">
        <v>0</v>
      </c>
      <c r="AA1257" s="1">
        <v>0</v>
      </c>
      <c r="AB1257" s="1">
        <v>0</v>
      </c>
      <c r="AC1257" s="1">
        <v>0</v>
      </c>
      <c r="AD1257" s="1">
        <v>0</v>
      </c>
    </row>
    <row r="1258" spans="1:30" s="20" customFormat="1" ht="36" customHeight="1" x14ac:dyDescent="0.25">
      <c r="A1258" s="2">
        <f t="shared" si="659"/>
        <v>1218</v>
      </c>
      <c r="B1258" s="6">
        <f t="shared" si="674"/>
        <v>1218</v>
      </c>
      <c r="C1258" s="19" t="s">
        <v>681</v>
      </c>
      <c r="D1258" s="4">
        <f t="shared" ref="D1258:D1268" si="676">E1258+M1258+O1258+Q1258+S1258+T1258+U1258+V1258+W1258+X1258+Z1258+AA1258+AB1258+AC1258+AD1258</f>
        <v>1516729.5999999999</v>
      </c>
      <c r="E1258" s="1">
        <f t="shared" si="660"/>
        <v>1416729.5999999999</v>
      </c>
      <c r="F1258" s="1">
        <f>804*422.4</f>
        <v>339609.59999999998</v>
      </c>
      <c r="G1258" s="1">
        <f>1693*422.4</f>
        <v>715123.19999999995</v>
      </c>
      <c r="H1258" s="1">
        <f>390*422.4</f>
        <v>164736</v>
      </c>
      <c r="I1258" s="1">
        <v>0</v>
      </c>
      <c r="J1258" s="1">
        <f>467*422.4</f>
        <v>197260.79999999999</v>
      </c>
      <c r="K1258" s="1">
        <v>0</v>
      </c>
      <c r="L1258" s="2">
        <v>0</v>
      </c>
      <c r="M1258" s="1">
        <v>0</v>
      </c>
      <c r="N1258" s="1">
        <v>0</v>
      </c>
      <c r="O1258" s="1">
        <v>0</v>
      </c>
      <c r="P1258" s="1">
        <v>0</v>
      </c>
      <c r="Q1258" s="1">
        <f t="shared" si="662"/>
        <v>0</v>
      </c>
      <c r="R1258" s="1">
        <v>0</v>
      </c>
      <c r="S1258" s="1">
        <f t="shared" si="675"/>
        <v>0</v>
      </c>
      <c r="T1258" s="1">
        <v>0</v>
      </c>
      <c r="U1258" s="1">
        <v>50000</v>
      </c>
      <c r="V1258" s="1">
        <v>0</v>
      </c>
      <c r="W1258" s="1">
        <v>50000</v>
      </c>
      <c r="X1258" s="1">
        <v>0</v>
      </c>
      <c r="Y1258" s="1">
        <v>0</v>
      </c>
      <c r="Z1258" s="1">
        <v>0</v>
      </c>
      <c r="AA1258" s="1">
        <v>0</v>
      </c>
      <c r="AB1258" s="1">
        <v>0</v>
      </c>
      <c r="AC1258" s="1">
        <v>0</v>
      </c>
      <c r="AD1258" s="1">
        <v>0</v>
      </c>
    </row>
    <row r="1259" spans="1:30" s="20" customFormat="1" ht="36" customHeight="1" x14ac:dyDescent="0.25">
      <c r="A1259" s="2">
        <f t="shared" ref="A1259:A1268" si="677">ROW()-ROW($A$11)-29</f>
        <v>1219</v>
      </c>
      <c r="B1259" s="6">
        <f>A1259</f>
        <v>1219</v>
      </c>
      <c r="C1259" s="19" t="s">
        <v>683</v>
      </c>
      <c r="D1259" s="4">
        <f t="shared" si="676"/>
        <v>2934234</v>
      </c>
      <c r="E1259" s="1">
        <f>SUM(F1259:K1259)</f>
        <v>321600</v>
      </c>
      <c r="F1259" s="1">
        <f>804*400</f>
        <v>321600</v>
      </c>
      <c r="G1259" s="1">
        <v>0</v>
      </c>
      <c r="H1259" s="1">
        <v>0</v>
      </c>
      <c r="I1259" s="1">
        <v>0</v>
      </c>
      <c r="J1259" s="1">
        <v>0</v>
      </c>
      <c r="K1259" s="1">
        <v>0</v>
      </c>
      <c r="L1259" s="2">
        <v>0</v>
      </c>
      <c r="M1259" s="1">
        <v>0</v>
      </c>
      <c r="N1259" s="1">
        <v>240</v>
      </c>
      <c r="O1259" s="1">
        <f>N1259*7750</f>
        <v>1860000</v>
      </c>
      <c r="P1259" s="1">
        <v>0</v>
      </c>
      <c r="Q1259" s="1">
        <f>P1259*1400</f>
        <v>0</v>
      </c>
      <c r="R1259" s="1">
        <v>134</v>
      </c>
      <c r="S1259" s="1">
        <f>R1259*3751</f>
        <v>502634</v>
      </c>
      <c r="T1259" s="1">
        <v>150000</v>
      </c>
      <c r="U1259" s="1">
        <v>50000</v>
      </c>
      <c r="V1259" s="1">
        <v>0</v>
      </c>
      <c r="W1259" s="1">
        <v>50000</v>
      </c>
      <c r="X1259" s="1">
        <v>0</v>
      </c>
      <c r="Y1259" s="1">
        <v>0</v>
      </c>
      <c r="Z1259" s="1">
        <v>0</v>
      </c>
      <c r="AA1259" s="1">
        <v>0</v>
      </c>
      <c r="AB1259" s="1">
        <v>0</v>
      </c>
      <c r="AC1259" s="1">
        <v>0</v>
      </c>
      <c r="AD1259" s="1">
        <v>0</v>
      </c>
    </row>
    <row r="1260" spans="1:30" s="20" customFormat="1" ht="36" customHeight="1" x14ac:dyDescent="0.25">
      <c r="A1260" s="2">
        <f t="shared" si="677"/>
        <v>1220</v>
      </c>
      <c r="B1260" s="6">
        <f t="shared" si="674"/>
        <v>1220</v>
      </c>
      <c r="C1260" s="19" t="s">
        <v>682</v>
      </c>
      <c r="D1260" s="4">
        <f t="shared" si="676"/>
        <v>3365576.4</v>
      </c>
      <c r="E1260" s="1">
        <f t="shared" si="660"/>
        <v>425396.4</v>
      </c>
      <c r="F1260" s="1">
        <f>804*529.1</f>
        <v>425396.4</v>
      </c>
      <c r="G1260" s="1">
        <v>0</v>
      </c>
      <c r="H1260" s="1">
        <v>0</v>
      </c>
      <c r="I1260" s="1">
        <v>0</v>
      </c>
      <c r="J1260" s="1">
        <v>0</v>
      </c>
      <c r="K1260" s="1">
        <v>0</v>
      </c>
      <c r="L1260" s="2">
        <v>0</v>
      </c>
      <c r="M1260" s="1">
        <v>0</v>
      </c>
      <c r="N1260" s="1">
        <v>260</v>
      </c>
      <c r="O1260" s="1">
        <f>N1260*7750</f>
        <v>2015000</v>
      </c>
      <c r="P1260" s="1">
        <v>0</v>
      </c>
      <c r="Q1260" s="1">
        <f t="shared" si="662"/>
        <v>0</v>
      </c>
      <c r="R1260" s="1">
        <v>180</v>
      </c>
      <c r="S1260" s="1">
        <f t="shared" si="675"/>
        <v>675180</v>
      </c>
      <c r="T1260" s="1">
        <v>150000</v>
      </c>
      <c r="U1260" s="1">
        <v>50000</v>
      </c>
      <c r="V1260" s="1">
        <v>0</v>
      </c>
      <c r="W1260" s="1">
        <v>50000</v>
      </c>
      <c r="X1260" s="1">
        <v>0</v>
      </c>
      <c r="Y1260" s="1">
        <v>0</v>
      </c>
      <c r="Z1260" s="1">
        <v>0</v>
      </c>
      <c r="AA1260" s="1">
        <v>0</v>
      </c>
      <c r="AB1260" s="1">
        <v>0</v>
      </c>
      <c r="AC1260" s="1">
        <v>0</v>
      </c>
      <c r="AD1260" s="1">
        <v>0</v>
      </c>
    </row>
    <row r="1261" spans="1:30" s="20" customFormat="1" ht="36" customHeight="1" x14ac:dyDescent="0.25">
      <c r="A1261" s="2">
        <f t="shared" si="677"/>
        <v>1221</v>
      </c>
      <c r="B1261" s="6">
        <f t="shared" si="674"/>
        <v>1221</v>
      </c>
      <c r="C1261" s="19" t="s">
        <v>684</v>
      </c>
      <c r="D1261" s="4">
        <f t="shared" si="676"/>
        <v>14356774.5</v>
      </c>
      <c r="E1261" s="1">
        <f t="shared" si="660"/>
        <v>8147704.5</v>
      </c>
      <c r="F1261" s="1">
        <f>804*2429.25</f>
        <v>1953117</v>
      </c>
      <c r="G1261" s="1">
        <f>1693*2429.25</f>
        <v>4112720.25</v>
      </c>
      <c r="H1261" s="1">
        <f>390*2429.25</f>
        <v>947407.5</v>
      </c>
      <c r="I1261" s="1">
        <v>0</v>
      </c>
      <c r="J1261" s="1">
        <f>467*2429.25</f>
        <v>1134459.75</v>
      </c>
      <c r="K1261" s="1">
        <v>0</v>
      </c>
      <c r="L1261" s="2">
        <v>0</v>
      </c>
      <c r="M1261" s="1">
        <v>0</v>
      </c>
      <c r="N1261" s="1">
        <v>0</v>
      </c>
      <c r="O1261" s="1">
        <f>N1261*7750</f>
        <v>0</v>
      </c>
      <c r="P1261" s="1">
        <v>50</v>
      </c>
      <c r="Q1261" s="1">
        <f t="shared" si="662"/>
        <v>70000</v>
      </c>
      <c r="R1261" s="1">
        <v>1570</v>
      </c>
      <c r="S1261" s="1">
        <f t="shared" si="675"/>
        <v>5889070</v>
      </c>
      <c r="T1261" s="1">
        <v>150000</v>
      </c>
      <c r="U1261" s="1">
        <v>50000</v>
      </c>
      <c r="V1261" s="1">
        <v>0</v>
      </c>
      <c r="W1261" s="1">
        <v>50000</v>
      </c>
      <c r="X1261" s="1">
        <v>0</v>
      </c>
      <c r="Y1261" s="1">
        <v>0</v>
      </c>
      <c r="Z1261" s="1">
        <v>0</v>
      </c>
      <c r="AA1261" s="1">
        <v>0</v>
      </c>
      <c r="AB1261" s="1">
        <v>0</v>
      </c>
      <c r="AC1261" s="1">
        <v>0</v>
      </c>
      <c r="AD1261" s="1">
        <v>0</v>
      </c>
    </row>
    <row r="1262" spans="1:30" s="20" customFormat="1" ht="36" customHeight="1" x14ac:dyDescent="0.25">
      <c r="A1262" s="2">
        <f t="shared" si="677"/>
        <v>1222</v>
      </c>
      <c r="B1262" s="6">
        <f t="shared" si="674"/>
        <v>1222</v>
      </c>
      <c r="C1262" s="19" t="s">
        <v>1993</v>
      </c>
      <c r="D1262" s="4">
        <f t="shared" si="676"/>
        <v>51256.800000000003</v>
      </c>
      <c r="E1262" s="1">
        <f t="shared" si="660"/>
        <v>1256.8</v>
      </c>
      <c r="F1262" s="1">
        <v>0</v>
      </c>
      <c r="G1262" s="1">
        <v>0</v>
      </c>
      <c r="H1262" s="1">
        <v>628.4</v>
      </c>
      <c r="I1262" s="1">
        <v>0</v>
      </c>
      <c r="J1262" s="1">
        <v>628.4</v>
      </c>
      <c r="K1262" s="1">
        <v>0</v>
      </c>
      <c r="L1262" s="2">
        <v>0</v>
      </c>
      <c r="M1262" s="1">
        <v>0</v>
      </c>
      <c r="N1262" s="1">
        <v>0</v>
      </c>
      <c r="O1262" s="1">
        <v>0</v>
      </c>
      <c r="P1262" s="1">
        <v>0</v>
      </c>
      <c r="Q1262" s="1">
        <f t="shared" si="662"/>
        <v>0</v>
      </c>
      <c r="R1262" s="1">
        <v>0</v>
      </c>
      <c r="S1262" s="1">
        <f t="shared" si="675"/>
        <v>0</v>
      </c>
      <c r="T1262" s="1">
        <v>0</v>
      </c>
      <c r="U1262" s="1">
        <v>50000</v>
      </c>
      <c r="V1262" s="1">
        <v>0</v>
      </c>
      <c r="W1262" s="1">
        <v>0</v>
      </c>
      <c r="X1262" s="1">
        <v>0</v>
      </c>
      <c r="Y1262" s="1">
        <v>0</v>
      </c>
      <c r="Z1262" s="1">
        <v>0</v>
      </c>
      <c r="AA1262" s="1">
        <v>0</v>
      </c>
      <c r="AB1262" s="1">
        <v>0</v>
      </c>
      <c r="AC1262" s="1">
        <v>0</v>
      </c>
      <c r="AD1262" s="1">
        <v>0</v>
      </c>
    </row>
    <row r="1263" spans="1:30" s="20" customFormat="1" ht="36" customHeight="1" x14ac:dyDescent="0.25">
      <c r="A1263" s="2">
        <f t="shared" si="677"/>
        <v>1223</v>
      </c>
      <c r="B1263" s="6">
        <f t="shared" si="674"/>
        <v>1223</v>
      </c>
      <c r="C1263" s="19" t="s">
        <v>685</v>
      </c>
      <c r="D1263" s="4">
        <f t="shared" si="676"/>
        <v>2368374.9</v>
      </c>
      <c r="E1263" s="1">
        <f t="shared" si="660"/>
        <v>674199.89999999991</v>
      </c>
      <c r="F1263" s="1">
        <f>804*405.9</f>
        <v>326343.59999999998</v>
      </c>
      <c r="G1263" s="1">
        <v>0</v>
      </c>
      <c r="H1263" s="1">
        <f>390*405.9</f>
        <v>158301</v>
      </c>
      <c r="I1263" s="1">
        <v>0</v>
      </c>
      <c r="J1263" s="1">
        <f>467*405.9</f>
        <v>189555.3</v>
      </c>
      <c r="K1263" s="1">
        <v>0</v>
      </c>
      <c r="L1263" s="2">
        <v>0</v>
      </c>
      <c r="M1263" s="1">
        <v>0</v>
      </c>
      <c r="N1263" s="1">
        <v>0</v>
      </c>
      <c r="O1263" s="1">
        <v>0</v>
      </c>
      <c r="P1263" s="1">
        <v>0</v>
      </c>
      <c r="Q1263" s="1">
        <f t="shared" si="662"/>
        <v>0</v>
      </c>
      <c r="R1263" s="1">
        <v>425</v>
      </c>
      <c r="S1263" s="1">
        <f t="shared" si="675"/>
        <v>1594175</v>
      </c>
      <c r="T1263" s="1">
        <v>0</v>
      </c>
      <c r="U1263" s="1">
        <v>50000</v>
      </c>
      <c r="V1263" s="1">
        <v>0</v>
      </c>
      <c r="W1263" s="1">
        <v>50000</v>
      </c>
      <c r="X1263" s="1">
        <v>0</v>
      </c>
      <c r="Y1263" s="1">
        <v>0</v>
      </c>
      <c r="Z1263" s="1">
        <v>0</v>
      </c>
      <c r="AA1263" s="1">
        <v>0</v>
      </c>
      <c r="AB1263" s="1">
        <v>0</v>
      </c>
      <c r="AC1263" s="1">
        <v>0</v>
      </c>
      <c r="AD1263" s="1">
        <v>0</v>
      </c>
    </row>
    <row r="1264" spans="1:30" s="20" customFormat="1" ht="36" customHeight="1" x14ac:dyDescent="0.25">
      <c r="A1264" s="2">
        <f t="shared" si="677"/>
        <v>1224</v>
      </c>
      <c r="B1264" s="6">
        <f t="shared" si="674"/>
        <v>1224</v>
      </c>
      <c r="C1264" s="19" t="s">
        <v>686</v>
      </c>
      <c r="D1264" s="4">
        <f t="shared" si="676"/>
        <v>50815.8</v>
      </c>
      <c r="E1264" s="1">
        <f t="shared" ref="E1264:E1268" si="678">SUM(F1264:K1264)</f>
        <v>815.8</v>
      </c>
      <c r="F1264" s="1">
        <v>0</v>
      </c>
      <c r="G1264" s="1">
        <v>0</v>
      </c>
      <c r="H1264" s="1">
        <v>407.9</v>
      </c>
      <c r="I1264" s="1">
        <v>0</v>
      </c>
      <c r="J1264" s="1">
        <v>407.9</v>
      </c>
      <c r="K1264" s="1">
        <v>0</v>
      </c>
      <c r="L1264" s="2">
        <v>0</v>
      </c>
      <c r="M1264" s="1">
        <v>0</v>
      </c>
      <c r="N1264" s="1">
        <v>0</v>
      </c>
      <c r="O1264" s="1">
        <v>0</v>
      </c>
      <c r="P1264" s="1">
        <v>0</v>
      </c>
      <c r="Q1264" s="1">
        <f t="shared" ref="Q1264:Q1268" si="679">P1264*1400</f>
        <v>0</v>
      </c>
      <c r="R1264" s="1">
        <v>0</v>
      </c>
      <c r="S1264" s="1">
        <f t="shared" si="675"/>
        <v>0</v>
      </c>
      <c r="T1264" s="1">
        <v>0</v>
      </c>
      <c r="U1264" s="1">
        <v>50000</v>
      </c>
      <c r="V1264" s="1">
        <v>0</v>
      </c>
      <c r="W1264" s="1">
        <v>0</v>
      </c>
      <c r="X1264" s="1">
        <v>0</v>
      </c>
      <c r="Y1264" s="1">
        <v>0</v>
      </c>
      <c r="Z1264" s="1">
        <v>0</v>
      </c>
      <c r="AA1264" s="1">
        <v>0</v>
      </c>
      <c r="AB1264" s="1">
        <v>0</v>
      </c>
      <c r="AC1264" s="1">
        <v>0</v>
      </c>
      <c r="AD1264" s="1">
        <v>0</v>
      </c>
    </row>
    <row r="1265" spans="1:30" s="20" customFormat="1" ht="36" customHeight="1" x14ac:dyDescent="0.25">
      <c r="A1265" s="2">
        <f t="shared" si="677"/>
        <v>1225</v>
      </c>
      <c r="B1265" s="6">
        <f t="shared" si="674"/>
        <v>1225</v>
      </c>
      <c r="C1265" s="19" t="s">
        <v>687</v>
      </c>
      <c r="D1265" s="4">
        <f t="shared" si="676"/>
        <v>2455603.6</v>
      </c>
      <c r="E1265" s="1">
        <f t="shared" si="678"/>
        <v>411085.2</v>
      </c>
      <c r="F1265" s="1">
        <f>804*511.3</f>
        <v>411085.2</v>
      </c>
      <c r="G1265" s="1">
        <v>0</v>
      </c>
      <c r="H1265" s="1">
        <v>0</v>
      </c>
      <c r="I1265" s="1">
        <v>0</v>
      </c>
      <c r="J1265" s="1">
        <v>0</v>
      </c>
      <c r="K1265" s="1">
        <v>0</v>
      </c>
      <c r="L1265" s="2">
        <v>0</v>
      </c>
      <c r="M1265" s="1">
        <v>0</v>
      </c>
      <c r="N1265" s="1">
        <v>0</v>
      </c>
      <c r="O1265" s="1">
        <v>0</v>
      </c>
      <c r="P1265" s="1">
        <v>0</v>
      </c>
      <c r="Q1265" s="1">
        <f t="shared" si="679"/>
        <v>0</v>
      </c>
      <c r="R1265" s="1">
        <v>518.4</v>
      </c>
      <c r="S1265" s="1">
        <f t="shared" si="675"/>
        <v>1944518.4</v>
      </c>
      <c r="T1265" s="1">
        <v>0</v>
      </c>
      <c r="U1265" s="1">
        <v>50000</v>
      </c>
      <c r="V1265" s="1">
        <v>0</v>
      </c>
      <c r="W1265" s="1">
        <v>50000</v>
      </c>
      <c r="X1265" s="1">
        <v>0</v>
      </c>
      <c r="Y1265" s="1">
        <v>0</v>
      </c>
      <c r="Z1265" s="1">
        <v>0</v>
      </c>
      <c r="AA1265" s="1">
        <v>0</v>
      </c>
      <c r="AB1265" s="1">
        <v>0</v>
      </c>
      <c r="AC1265" s="1">
        <v>0</v>
      </c>
      <c r="AD1265" s="1">
        <v>0</v>
      </c>
    </row>
    <row r="1266" spans="1:30" s="20" customFormat="1" ht="36" customHeight="1" x14ac:dyDescent="0.25">
      <c r="A1266" s="2">
        <f t="shared" si="677"/>
        <v>1226</v>
      </c>
      <c r="B1266" s="6">
        <f t="shared" si="674"/>
        <v>1226</v>
      </c>
      <c r="C1266" s="19" t="s">
        <v>688</v>
      </c>
      <c r="D1266" s="4">
        <f t="shared" si="676"/>
        <v>2769440.4</v>
      </c>
      <c r="E1266" s="1">
        <f t="shared" si="678"/>
        <v>306806.40000000002</v>
      </c>
      <c r="F1266" s="1">
        <f>804*381.6</f>
        <v>306806.40000000002</v>
      </c>
      <c r="G1266" s="1">
        <v>0</v>
      </c>
      <c r="H1266" s="1">
        <v>0</v>
      </c>
      <c r="I1266" s="1">
        <v>0</v>
      </c>
      <c r="J1266" s="1">
        <v>0</v>
      </c>
      <c r="K1266" s="1">
        <v>0</v>
      </c>
      <c r="L1266" s="2">
        <v>0</v>
      </c>
      <c r="M1266" s="1">
        <v>0</v>
      </c>
      <c r="N1266" s="1">
        <v>240</v>
      </c>
      <c r="O1266" s="1">
        <f>N1266*7750</f>
        <v>1860000</v>
      </c>
      <c r="P1266" s="1">
        <v>0</v>
      </c>
      <c r="Q1266" s="1">
        <f t="shared" si="679"/>
        <v>0</v>
      </c>
      <c r="R1266" s="1">
        <v>134</v>
      </c>
      <c r="S1266" s="1">
        <f t="shared" si="675"/>
        <v>502634</v>
      </c>
      <c r="T1266" s="1">
        <v>0</v>
      </c>
      <c r="U1266" s="1">
        <v>50000</v>
      </c>
      <c r="V1266" s="1">
        <v>0</v>
      </c>
      <c r="W1266" s="1">
        <v>50000</v>
      </c>
      <c r="X1266" s="1">
        <v>0</v>
      </c>
      <c r="Y1266" s="1">
        <v>0</v>
      </c>
      <c r="Z1266" s="1">
        <v>0</v>
      </c>
      <c r="AA1266" s="1">
        <v>0</v>
      </c>
      <c r="AB1266" s="1">
        <v>0</v>
      </c>
      <c r="AC1266" s="1">
        <v>0</v>
      </c>
      <c r="AD1266" s="1">
        <v>0</v>
      </c>
    </row>
    <row r="1267" spans="1:30" s="20" customFormat="1" ht="36" customHeight="1" x14ac:dyDescent="0.25">
      <c r="A1267" s="2">
        <f t="shared" si="677"/>
        <v>1227</v>
      </c>
      <c r="B1267" s="6">
        <f t="shared" si="674"/>
        <v>1227</v>
      </c>
      <c r="C1267" s="19" t="s">
        <v>689</v>
      </c>
      <c r="D1267" s="4">
        <f t="shared" si="676"/>
        <v>1120190.8</v>
      </c>
      <c r="E1267" s="1">
        <f t="shared" si="678"/>
        <v>457540.8</v>
      </c>
      <c r="F1267" s="1">
        <f>804*383.2</f>
        <v>308092.79999999999</v>
      </c>
      <c r="G1267" s="1">
        <v>0</v>
      </c>
      <c r="H1267" s="1">
        <f>390*383.2</f>
        <v>149448</v>
      </c>
      <c r="I1267" s="1">
        <v>0</v>
      </c>
      <c r="J1267" s="1">
        <v>0</v>
      </c>
      <c r="K1267" s="1">
        <v>0</v>
      </c>
      <c r="L1267" s="2">
        <v>0</v>
      </c>
      <c r="M1267" s="1">
        <v>0</v>
      </c>
      <c r="N1267" s="1">
        <v>0</v>
      </c>
      <c r="O1267" s="1">
        <v>0</v>
      </c>
      <c r="P1267" s="1">
        <v>0</v>
      </c>
      <c r="Q1267" s="1">
        <f t="shared" si="679"/>
        <v>0</v>
      </c>
      <c r="R1267" s="1">
        <v>150</v>
      </c>
      <c r="S1267" s="1">
        <f t="shared" si="675"/>
        <v>562650</v>
      </c>
      <c r="T1267" s="1">
        <v>0</v>
      </c>
      <c r="U1267" s="1">
        <v>50000</v>
      </c>
      <c r="V1267" s="1">
        <v>0</v>
      </c>
      <c r="W1267" s="1">
        <v>50000</v>
      </c>
      <c r="X1267" s="1">
        <v>0</v>
      </c>
      <c r="Y1267" s="1">
        <v>0</v>
      </c>
      <c r="Z1267" s="1">
        <v>0</v>
      </c>
      <c r="AA1267" s="1">
        <v>0</v>
      </c>
      <c r="AB1267" s="1">
        <v>0</v>
      </c>
      <c r="AC1267" s="1">
        <v>0</v>
      </c>
      <c r="AD1267" s="1">
        <v>0</v>
      </c>
    </row>
    <row r="1268" spans="1:30" s="20" customFormat="1" ht="36" customHeight="1" x14ac:dyDescent="0.25">
      <c r="A1268" s="2">
        <f t="shared" si="677"/>
        <v>1228</v>
      </c>
      <c r="B1268" s="6">
        <f t="shared" si="674"/>
        <v>1228</v>
      </c>
      <c r="C1268" s="19" t="s">
        <v>690</v>
      </c>
      <c r="D1268" s="4">
        <f t="shared" si="676"/>
        <v>1102877.8</v>
      </c>
      <c r="E1268" s="1">
        <f t="shared" si="678"/>
        <v>440227.8</v>
      </c>
      <c r="F1268" s="1">
        <f>804*368.7</f>
        <v>296434.8</v>
      </c>
      <c r="G1268" s="1">
        <v>0</v>
      </c>
      <c r="H1268" s="1">
        <f>390*368.7</f>
        <v>143793</v>
      </c>
      <c r="I1268" s="1">
        <v>0</v>
      </c>
      <c r="J1268" s="1">
        <v>0</v>
      </c>
      <c r="K1268" s="1">
        <v>0</v>
      </c>
      <c r="L1268" s="2">
        <v>0</v>
      </c>
      <c r="M1268" s="1">
        <v>0</v>
      </c>
      <c r="N1268" s="1">
        <v>0</v>
      </c>
      <c r="O1268" s="1">
        <v>0</v>
      </c>
      <c r="P1268" s="1">
        <v>0</v>
      </c>
      <c r="Q1268" s="1">
        <f t="shared" si="679"/>
        <v>0</v>
      </c>
      <c r="R1268" s="1">
        <v>150</v>
      </c>
      <c r="S1268" s="1">
        <f t="shared" si="675"/>
        <v>562650</v>
      </c>
      <c r="T1268" s="1">
        <v>0</v>
      </c>
      <c r="U1268" s="1">
        <v>50000</v>
      </c>
      <c r="V1268" s="1">
        <v>0</v>
      </c>
      <c r="W1268" s="1">
        <v>50000</v>
      </c>
      <c r="X1268" s="1">
        <v>0</v>
      </c>
      <c r="Y1268" s="1">
        <v>0</v>
      </c>
      <c r="Z1268" s="1">
        <v>0</v>
      </c>
      <c r="AA1268" s="1">
        <v>0</v>
      </c>
      <c r="AB1268" s="1">
        <v>0</v>
      </c>
      <c r="AC1268" s="1">
        <v>0</v>
      </c>
      <c r="AD1268" s="1">
        <v>0</v>
      </c>
    </row>
    <row r="1269" spans="1:30" s="20" customFormat="1" ht="54.95" customHeight="1" x14ac:dyDescent="0.25">
      <c r="A1269" s="3"/>
      <c r="B1269" s="47" t="s">
        <v>1968</v>
      </c>
      <c r="C1269" s="48"/>
      <c r="D1269" s="4">
        <f>SUM(D1270:D1287)</f>
        <v>110338236.2</v>
      </c>
      <c r="E1269" s="4">
        <f t="shared" ref="E1269:AD1269" si="680">SUM(E1270:E1287)</f>
        <v>67790161.699999988</v>
      </c>
      <c r="F1269" s="4">
        <f t="shared" si="680"/>
        <v>14248423.679999996</v>
      </c>
      <c r="G1269" s="4">
        <f t="shared" si="680"/>
        <v>28594465.260000002</v>
      </c>
      <c r="H1269" s="4">
        <f t="shared" si="680"/>
        <v>6911548.7999999998</v>
      </c>
      <c r="I1269" s="4">
        <f t="shared" si="680"/>
        <v>8845715.0199999996</v>
      </c>
      <c r="J1269" s="4">
        <f t="shared" si="680"/>
        <v>9190008.9399999995</v>
      </c>
      <c r="K1269" s="4">
        <f t="shared" si="680"/>
        <v>0</v>
      </c>
      <c r="L1269" s="17">
        <f t="shared" si="680"/>
        <v>3</v>
      </c>
      <c r="M1269" s="4">
        <f t="shared" si="680"/>
        <v>10500000</v>
      </c>
      <c r="N1269" s="4">
        <f t="shared" si="680"/>
        <v>3161.65</v>
      </c>
      <c r="O1269" s="4">
        <f t="shared" si="680"/>
        <v>23612547.5</v>
      </c>
      <c r="P1269" s="4">
        <f t="shared" si="680"/>
        <v>50</v>
      </c>
      <c r="Q1269" s="4">
        <f t="shared" si="680"/>
        <v>70000</v>
      </c>
      <c r="R1269" s="4">
        <f t="shared" si="680"/>
        <v>1777</v>
      </c>
      <c r="S1269" s="4">
        <f t="shared" si="680"/>
        <v>6665527</v>
      </c>
      <c r="T1269" s="4">
        <f t="shared" si="680"/>
        <v>300000</v>
      </c>
      <c r="U1269" s="4">
        <f t="shared" si="680"/>
        <v>950000</v>
      </c>
      <c r="V1269" s="4">
        <f t="shared" si="680"/>
        <v>0</v>
      </c>
      <c r="W1269" s="4">
        <f t="shared" si="680"/>
        <v>450000</v>
      </c>
      <c r="X1269" s="4">
        <f t="shared" si="680"/>
        <v>0</v>
      </c>
      <c r="Y1269" s="4">
        <f t="shared" si="680"/>
        <v>0</v>
      </c>
      <c r="Z1269" s="4">
        <f t="shared" si="680"/>
        <v>0</v>
      </c>
      <c r="AA1269" s="4">
        <f t="shared" si="680"/>
        <v>0</v>
      </c>
      <c r="AB1269" s="4">
        <f t="shared" si="680"/>
        <v>0</v>
      </c>
      <c r="AC1269" s="4">
        <f t="shared" si="680"/>
        <v>0</v>
      </c>
      <c r="AD1269" s="4">
        <f t="shared" si="680"/>
        <v>0</v>
      </c>
    </row>
    <row r="1270" spans="1:30" s="20" customFormat="1" ht="36" customHeight="1" x14ac:dyDescent="0.25">
      <c r="A1270" s="2">
        <f>ROW()-ROW($A$11)-30</f>
        <v>1229</v>
      </c>
      <c r="B1270" s="6">
        <f t="shared" ref="B1270:B1276" si="681">A1270</f>
        <v>1229</v>
      </c>
      <c r="C1270" s="19" t="s">
        <v>691</v>
      </c>
      <c r="D1270" s="4">
        <f t="shared" ref="D1270:D1287" si="682">E1270+M1270+O1270+Q1270+S1270+T1270+U1270+V1270+W1270+X1270+Z1270+AA1270+AB1270+AC1270+AD1270</f>
        <v>310912.90000000002</v>
      </c>
      <c r="E1270" s="1">
        <f>SUM(F1270:K1270)</f>
        <v>260912.90000000002</v>
      </c>
      <c r="F1270" s="1">
        <v>0</v>
      </c>
      <c r="G1270" s="1">
        <v>0</v>
      </c>
      <c r="H1270" s="1">
        <v>0</v>
      </c>
      <c r="I1270" s="1">
        <v>0</v>
      </c>
      <c r="J1270" s="1">
        <f>467*558.7</f>
        <v>260912.90000000002</v>
      </c>
      <c r="K1270" s="1">
        <v>0</v>
      </c>
      <c r="L1270" s="2">
        <v>0</v>
      </c>
      <c r="M1270" s="1">
        <v>0</v>
      </c>
      <c r="N1270" s="1">
        <v>0</v>
      </c>
      <c r="O1270" s="1">
        <v>0</v>
      </c>
      <c r="P1270" s="1">
        <v>0</v>
      </c>
      <c r="Q1270" s="1">
        <f>P1270*1400</f>
        <v>0</v>
      </c>
      <c r="R1270" s="1">
        <v>0</v>
      </c>
      <c r="S1270" s="1">
        <f>R1270*3751</f>
        <v>0</v>
      </c>
      <c r="T1270" s="1">
        <v>0</v>
      </c>
      <c r="U1270" s="1">
        <v>50000</v>
      </c>
      <c r="V1270" s="1">
        <v>0</v>
      </c>
      <c r="W1270" s="1">
        <v>0</v>
      </c>
      <c r="X1270" s="1">
        <v>0</v>
      </c>
      <c r="Y1270" s="1">
        <v>0</v>
      </c>
      <c r="Z1270" s="1">
        <v>0</v>
      </c>
      <c r="AA1270" s="1">
        <v>0</v>
      </c>
      <c r="AB1270" s="1">
        <v>0</v>
      </c>
      <c r="AC1270" s="1">
        <v>0</v>
      </c>
      <c r="AD1270" s="1">
        <v>0</v>
      </c>
    </row>
    <row r="1271" spans="1:30" s="20" customFormat="1" ht="36" customHeight="1" x14ac:dyDescent="0.25">
      <c r="A1271" s="2">
        <f t="shared" ref="A1271:A1287" si="683">ROW()-ROW($A$11)-30</f>
        <v>1230</v>
      </c>
      <c r="B1271" s="6">
        <f t="shared" si="681"/>
        <v>1230</v>
      </c>
      <c r="C1271" s="19" t="s">
        <v>692</v>
      </c>
      <c r="D1271" s="4">
        <f t="shared" si="682"/>
        <v>8107785.0000000009</v>
      </c>
      <c r="E1271" s="1">
        <f>SUM(F1271:K1271)</f>
        <v>8007785.0000000009</v>
      </c>
      <c r="F1271" s="1">
        <f>804*2040.2</f>
        <v>1640320.8</v>
      </c>
      <c r="G1271" s="1">
        <f>1693*2040.2</f>
        <v>3454058.6</v>
      </c>
      <c r="H1271" s="1">
        <f>390*2040.2</f>
        <v>795678</v>
      </c>
      <c r="I1271" s="1">
        <f>571*2040.2</f>
        <v>1164954.2</v>
      </c>
      <c r="J1271" s="1">
        <f>467*2040.2</f>
        <v>952773.4</v>
      </c>
      <c r="K1271" s="1">
        <v>0</v>
      </c>
      <c r="L1271" s="2">
        <v>0</v>
      </c>
      <c r="M1271" s="1">
        <v>0</v>
      </c>
      <c r="N1271" s="1">
        <v>0</v>
      </c>
      <c r="O1271" s="1">
        <v>0</v>
      </c>
      <c r="P1271" s="1">
        <v>0</v>
      </c>
      <c r="Q1271" s="1">
        <f>P1271*1400</f>
        <v>0</v>
      </c>
      <c r="R1271" s="1">
        <v>0</v>
      </c>
      <c r="S1271" s="1">
        <f>R1271*3751</f>
        <v>0</v>
      </c>
      <c r="T1271" s="1">
        <v>0</v>
      </c>
      <c r="U1271" s="1">
        <v>50000</v>
      </c>
      <c r="V1271" s="1">
        <v>0</v>
      </c>
      <c r="W1271" s="1">
        <v>50000</v>
      </c>
      <c r="X1271" s="1">
        <v>0</v>
      </c>
      <c r="Y1271" s="1">
        <v>0</v>
      </c>
      <c r="Z1271" s="1">
        <v>0</v>
      </c>
      <c r="AA1271" s="1">
        <v>0</v>
      </c>
      <c r="AB1271" s="1">
        <v>0</v>
      </c>
      <c r="AC1271" s="1">
        <v>0</v>
      </c>
      <c r="AD1271" s="1">
        <v>0</v>
      </c>
    </row>
    <row r="1272" spans="1:30" s="20" customFormat="1" ht="36" customHeight="1" x14ac:dyDescent="0.25">
      <c r="A1272" s="2">
        <f t="shared" si="683"/>
        <v>1231</v>
      </c>
      <c r="B1272" s="6">
        <f t="shared" si="681"/>
        <v>1231</v>
      </c>
      <c r="C1272" s="19" t="s">
        <v>693</v>
      </c>
      <c r="D1272" s="4">
        <f t="shared" si="682"/>
        <v>8013039.9999999991</v>
      </c>
      <c r="E1272" s="1">
        <f t="shared" ref="E1272:E1287" si="684">SUM(F1272:K1272)</f>
        <v>7963039.9999999991</v>
      </c>
      <c r="F1272" s="1">
        <f>804*2028.8</f>
        <v>1631155.2</v>
      </c>
      <c r="G1272" s="1">
        <f>1693*2028.8</f>
        <v>3434758.4</v>
      </c>
      <c r="H1272" s="1">
        <f>390*2028.8</f>
        <v>791232</v>
      </c>
      <c r="I1272" s="1">
        <f>571*2028.8</f>
        <v>1158444.8</v>
      </c>
      <c r="J1272" s="1">
        <f>467*2028.8</f>
        <v>947449.6</v>
      </c>
      <c r="K1272" s="1">
        <v>0</v>
      </c>
      <c r="L1272" s="2">
        <v>0</v>
      </c>
      <c r="M1272" s="1">
        <v>0</v>
      </c>
      <c r="N1272" s="1">
        <v>0</v>
      </c>
      <c r="O1272" s="1">
        <v>0</v>
      </c>
      <c r="P1272" s="1">
        <v>0</v>
      </c>
      <c r="Q1272" s="1">
        <f t="shared" ref="Q1272:Q1287" si="685">P1272*1400</f>
        <v>0</v>
      </c>
      <c r="R1272" s="1">
        <v>0</v>
      </c>
      <c r="S1272" s="1">
        <f t="shared" ref="S1272:S1285" si="686">R1272*3751</f>
        <v>0</v>
      </c>
      <c r="T1272" s="1">
        <v>0</v>
      </c>
      <c r="U1272" s="1">
        <v>50000</v>
      </c>
      <c r="V1272" s="1">
        <v>0</v>
      </c>
      <c r="W1272" s="1">
        <v>0</v>
      </c>
      <c r="X1272" s="1">
        <v>0</v>
      </c>
      <c r="Y1272" s="1">
        <v>0</v>
      </c>
      <c r="Z1272" s="1">
        <v>0</v>
      </c>
      <c r="AA1272" s="1">
        <v>0</v>
      </c>
      <c r="AB1272" s="1">
        <v>0</v>
      </c>
      <c r="AC1272" s="1">
        <v>0</v>
      </c>
      <c r="AD1272" s="1">
        <v>0</v>
      </c>
    </row>
    <row r="1273" spans="1:30" s="20" customFormat="1" ht="36" customHeight="1" x14ac:dyDescent="0.25">
      <c r="A1273" s="2">
        <f t="shared" si="683"/>
        <v>1232</v>
      </c>
      <c r="B1273" s="6">
        <f t="shared" si="681"/>
        <v>1232</v>
      </c>
      <c r="C1273" s="19" t="s">
        <v>694</v>
      </c>
      <c r="D1273" s="4">
        <f t="shared" si="682"/>
        <v>2922366</v>
      </c>
      <c r="E1273" s="1">
        <f t="shared" si="684"/>
        <v>612078.5</v>
      </c>
      <c r="F1273" s="1">
        <f>804*368.5</f>
        <v>296274</v>
      </c>
      <c r="G1273" s="1">
        <v>0</v>
      </c>
      <c r="H1273" s="1">
        <f>390*368.5</f>
        <v>143715</v>
      </c>
      <c r="I1273" s="1">
        <v>0</v>
      </c>
      <c r="J1273" s="1">
        <f>467*368.5</f>
        <v>172089.5</v>
      </c>
      <c r="K1273" s="1">
        <v>0</v>
      </c>
      <c r="L1273" s="2">
        <v>0</v>
      </c>
      <c r="M1273" s="1">
        <v>0</v>
      </c>
      <c r="N1273" s="1">
        <v>291.64999999999998</v>
      </c>
      <c r="O1273" s="1">
        <f>N1273*7750</f>
        <v>2260287.5</v>
      </c>
      <c r="P1273" s="1">
        <v>0</v>
      </c>
      <c r="Q1273" s="1">
        <f t="shared" si="685"/>
        <v>0</v>
      </c>
      <c r="R1273" s="1">
        <v>0</v>
      </c>
      <c r="S1273" s="1">
        <f t="shared" si="686"/>
        <v>0</v>
      </c>
      <c r="T1273" s="1">
        <v>0</v>
      </c>
      <c r="U1273" s="1">
        <v>50000</v>
      </c>
      <c r="V1273" s="1">
        <v>0</v>
      </c>
      <c r="W1273" s="1">
        <v>0</v>
      </c>
      <c r="X1273" s="1">
        <v>0</v>
      </c>
      <c r="Y1273" s="1">
        <v>0</v>
      </c>
      <c r="Z1273" s="1">
        <v>0</v>
      </c>
      <c r="AA1273" s="1">
        <v>0</v>
      </c>
      <c r="AB1273" s="1">
        <v>0</v>
      </c>
      <c r="AC1273" s="1">
        <v>0</v>
      </c>
      <c r="AD1273" s="1">
        <v>0</v>
      </c>
    </row>
    <row r="1274" spans="1:30" s="20" customFormat="1" ht="36" customHeight="1" x14ac:dyDescent="0.25">
      <c r="A1274" s="2">
        <f t="shared" si="683"/>
        <v>1233</v>
      </c>
      <c r="B1274" s="6">
        <f t="shared" si="681"/>
        <v>1233</v>
      </c>
      <c r="C1274" s="19" t="s">
        <v>695</v>
      </c>
      <c r="D1274" s="4">
        <f t="shared" si="682"/>
        <v>590493.30000000005</v>
      </c>
      <c r="E1274" s="1">
        <f t="shared" si="684"/>
        <v>490493.30000000005</v>
      </c>
      <c r="F1274" s="1">
        <f>804*295.3</f>
        <v>237421.2</v>
      </c>
      <c r="G1274" s="1">
        <v>0</v>
      </c>
      <c r="H1274" s="1">
        <f>390*295.3</f>
        <v>115167</v>
      </c>
      <c r="I1274" s="1">
        <v>0</v>
      </c>
      <c r="J1274" s="1">
        <f>467*295.3</f>
        <v>137905.1</v>
      </c>
      <c r="K1274" s="1">
        <v>0</v>
      </c>
      <c r="L1274" s="2">
        <v>0</v>
      </c>
      <c r="M1274" s="1">
        <v>0</v>
      </c>
      <c r="N1274" s="1">
        <v>0</v>
      </c>
      <c r="O1274" s="1">
        <v>0</v>
      </c>
      <c r="P1274" s="1">
        <v>0</v>
      </c>
      <c r="Q1274" s="1">
        <f t="shared" si="685"/>
        <v>0</v>
      </c>
      <c r="R1274" s="1">
        <v>0</v>
      </c>
      <c r="S1274" s="1">
        <f t="shared" si="686"/>
        <v>0</v>
      </c>
      <c r="T1274" s="1">
        <v>0</v>
      </c>
      <c r="U1274" s="1">
        <v>50000</v>
      </c>
      <c r="V1274" s="1">
        <v>0</v>
      </c>
      <c r="W1274" s="1">
        <v>50000</v>
      </c>
      <c r="X1274" s="1">
        <v>0</v>
      </c>
      <c r="Y1274" s="1">
        <v>0</v>
      </c>
      <c r="Z1274" s="1">
        <v>0</v>
      </c>
      <c r="AA1274" s="1">
        <v>0</v>
      </c>
      <c r="AB1274" s="1">
        <v>0</v>
      </c>
      <c r="AC1274" s="1">
        <v>0</v>
      </c>
      <c r="AD1274" s="1">
        <v>0</v>
      </c>
    </row>
    <row r="1275" spans="1:30" s="20" customFormat="1" ht="36" customHeight="1" x14ac:dyDescent="0.25">
      <c r="A1275" s="2">
        <f t="shared" si="683"/>
        <v>1234</v>
      </c>
      <c r="B1275" s="6">
        <f t="shared" si="681"/>
        <v>1234</v>
      </c>
      <c r="C1275" s="19" t="s">
        <v>1630</v>
      </c>
      <c r="D1275" s="4">
        <f t="shared" si="682"/>
        <v>14713700</v>
      </c>
      <c r="E1275" s="1">
        <f t="shared" si="684"/>
        <v>6138700</v>
      </c>
      <c r="F1275" s="1">
        <f>804*1564</f>
        <v>1257456</v>
      </c>
      <c r="G1275" s="1">
        <f>1693*1564</f>
        <v>2647852</v>
      </c>
      <c r="H1275" s="1">
        <f>390*1564</f>
        <v>609960</v>
      </c>
      <c r="I1275" s="1">
        <f>571*1564</f>
        <v>893044</v>
      </c>
      <c r="J1275" s="1">
        <f>467*1564</f>
        <v>730388</v>
      </c>
      <c r="K1275" s="1">
        <v>0</v>
      </c>
      <c r="L1275" s="2">
        <v>0</v>
      </c>
      <c r="M1275" s="1">
        <v>0</v>
      </c>
      <c r="N1275" s="1">
        <v>1100</v>
      </c>
      <c r="O1275" s="1">
        <f>N1275*7750</f>
        <v>8525000</v>
      </c>
      <c r="P1275" s="1">
        <v>0</v>
      </c>
      <c r="Q1275" s="1">
        <f t="shared" si="685"/>
        <v>0</v>
      </c>
      <c r="R1275" s="1">
        <v>0</v>
      </c>
      <c r="S1275" s="1">
        <f t="shared" si="686"/>
        <v>0</v>
      </c>
      <c r="T1275" s="1">
        <v>0</v>
      </c>
      <c r="U1275" s="1">
        <v>50000</v>
      </c>
      <c r="V1275" s="1">
        <v>0</v>
      </c>
      <c r="W1275" s="1">
        <v>0</v>
      </c>
      <c r="X1275" s="1">
        <v>0</v>
      </c>
      <c r="Y1275" s="1">
        <v>0</v>
      </c>
      <c r="Z1275" s="1">
        <v>0</v>
      </c>
      <c r="AA1275" s="1">
        <v>0</v>
      </c>
      <c r="AB1275" s="1">
        <v>0</v>
      </c>
      <c r="AC1275" s="1">
        <v>0</v>
      </c>
      <c r="AD1275" s="1">
        <v>0</v>
      </c>
    </row>
    <row r="1276" spans="1:30" s="20" customFormat="1" ht="36" customHeight="1" x14ac:dyDescent="0.25">
      <c r="A1276" s="2">
        <f t="shared" si="683"/>
        <v>1235</v>
      </c>
      <c r="B1276" s="6">
        <f t="shared" si="681"/>
        <v>1235</v>
      </c>
      <c r="C1276" s="19" t="s">
        <v>696</v>
      </c>
      <c r="D1276" s="4">
        <f t="shared" si="682"/>
        <v>10033112</v>
      </c>
      <c r="E1276" s="1">
        <f t="shared" si="684"/>
        <v>3020112</v>
      </c>
      <c r="F1276" s="1">
        <v>0</v>
      </c>
      <c r="G1276" s="1">
        <f>1693*1398.2</f>
        <v>2367152.6</v>
      </c>
      <c r="H1276" s="1">
        <v>0</v>
      </c>
      <c r="I1276" s="1">
        <v>0</v>
      </c>
      <c r="J1276" s="1">
        <f>467*1398.2</f>
        <v>652959.4</v>
      </c>
      <c r="K1276" s="1">
        <v>0</v>
      </c>
      <c r="L1276" s="2">
        <v>0</v>
      </c>
      <c r="M1276" s="1">
        <v>0</v>
      </c>
      <c r="N1276" s="1">
        <v>650</v>
      </c>
      <c r="O1276" s="1">
        <f>N1276*7750</f>
        <v>5037500</v>
      </c>
      <c r="P1276" s="1">
        <v>0</v>
      </c>
      <c r="Q1276" s="1">
        <f t="shared" si="685"/>
        <v>0</v>
      </c>
      <c r="R1276" s="1">
        <v>500</v>
      </c>
      <c r="S1276" s="1">
        <f t="shared" si="686"/>
        <v>1875500</v>
      </c>
      <c r="T1276" s="1">
        <v>0</v>
      </c>
      <c r="U1276" s="1">
        <v>50000</v>
      </c>
      <c r="V1276" s="1">
        <v>0</v>
      </c>
      <c r="W1276" s="1">
        <v>50000</v>
      </c>
      <c r="X1276" s="1">
        <v>0</v>
      </c>
      <c r="Y1276" s="1">
        <v>0</v>
      </c>
      <c r="Z1276" s="1">
        <v>0</v>
      </c>
      <c r="AA1276" s="1">
        <v>0</v>
      </c>
      <c r="AB1276" s="1">
        <v>0</v>
      </c>
      <c r="AC1276" s="1">
        <v>0</v>
      </c>
      <c r="AD1276" s="1">
        <v>0</v>
      </c>
    </row>
    <row r="1277" spans="1:30" s="20" customFormat="1" ht="36" customHeight="1" x14ac:dyDescent="0.25">
      <c r="A1277" s="2">
        <f t="shared" si="683"/>
        <v>1236</v>
      </c>
      <c r="B1277" s="6">
        <f t="shared" ref="B1277:B1285" si="687">A1277</f>
        <v>1236</v>
      </c>
      <c r="C1277" s="19" t="s">
        <v>697</v>
      </c>
      <c r="D1277" s="4">
        <f t="shared" si="682"/>
        <v>27721250</v>
      </c>
      <c r="E1277" s="1">
        <f t="shared" si="684"/>
        <v>27671250</v>
      </c>
      <c r="F1277" s="1">
        <f>804*7050</f>
        <v>5668200</v>
      </c>
      <c r="G1277" s="1">
        <f>1693*7050</f>
        <v>11935650</v>
      </c>
      <c r="H1277" s="1">
        <f>390*7050</f>
        <v>2749500</v>
      </c>
      <c r="I1277" s="1">
        <f>571*7050</f>
        <v>4025550</v>
      </c>
      <c r="J1277" s="1">
        <f>467*7050</f>
        <v>3292350</v>
      </c>
      <c r="K1277" s="1">
        <v>0</v>
      </c>
      <c r="L1277" s="2">
        <v>0</v>
      </c>
      <c r="M1277" s="1">
        <v>0</v>
      </c>
      <c r="N1277" s="1">
        <v>0</v>
      </c>
      <c r="O1277" s="1">
        <v>0</v>
      </c>
      <c r="P1277" s="1">
        <v>0</v>
      </c>
      <c r="Q1277" s="1">
        <f t="shared" si="685"/>
        <v>0</v>
      </c>
      <c r="R1277" s="1">
        <v>0</v>
      </c>
      <c r="S1277" s="1">
        <f t="shared" si="686"/>
        <v>0</v>
      </c>
      <c r="T1277" s="1">
        <v>0</v>
      </c>
      <c r="U1277" s="1">
        <v>50000</v>
      </c>
      <c r="V1277" s="1">
        <v>0</v>
      </c>
      <c r="W1277" s="1">
        <v>0</v>
      </c>
      <c r="X1277" s="1">
        <v>0</v>
      </c>
      <c r="Y1277" s="1">
        <v>0</v>
      </c>
      <c r="Z1277" s="1">
        <v>0</v>
      </c>
      <c r="AA1277" s="1">
        <v>0</v>
      </c>
      <c r="AB1277" s="1">
        <v>0</v>
      </c>
      <c r="AC1277" s="1">
        <v>0</v>
      </c>
      <c r="AD1277" s="1">
        <v>0</v>
      </c>
    </row>
    <row r="1278" spans="1:30" s="20" customFormat="1" ht="36" customHeight="1" x14ac:dyDescent="0.25">
      <c r="A1278" s="2">
        <f t="shared" si="683"/>
        <v>1237</v>
      </c>
      <c r="B1278" s="6">
        <f t="shared" si="687"/>
        <v>1237</v>
      </c>
      <c r="C1278" s="19" t="s">
        <v>698</v>
      </c>
      <c r="D1278" s="4">
        <f t="shared" si="682"/>
        <v>3794450</v>
      </c>
      <c r="E1278" s="1">
        <f t="shared" si="684"/>
        <v>3744450</v>
      </c>
      <c r="F1278" s="1">
        <f>804*954</f>
        <v>767016</v>
      </c>
      <c r="G1278" s="1">
        <f>1693*954</f>
        <v>1615122</v>
      </c>
      <c r="H1278" s="1">
        <f>390*954</f>
        <v>372060</v>
      </c>
      <c r="I1278" s="1">
        <f>571*954</f>
        <v>544734</v>
      </c>
      <c r="J1278" s="1">
        <f>467*954</f>
        <v>445518</v>
      </c>
      <c r="K1278" s="1">
        <v>0</v>
      </c>
      <c r="L1278" s="2">
        <v>0</v>
      </c>
      <c r="M1278" s="1">
        <v>0</v>
      </c>
      <c r="N1278" s="1">
        <v>0</v>
      </c>
      <c r="O1278" s="1">
        <v>0</v>
      </c>
      <c r="P1278" s="1">
        <v>0</v>
      </c>
      <c r="Q1278" s="1">
        <f t="shared" si="685"/>
        <v>0</v>
      </c>
      <c r="R1278" s="1">
        <v>0</v>
      </c>
      <c r="S1278" s="1">
        <f t="shared" si="686"/>
        <v>0</v>
      </c>
      <c r="T1278" s="1">
        <v>0</v>
      </c>
      <c r="U1278" s="1">
        <v>50000</v>
      </c>
      <c r="V1278" s="1">
        <v>0</v>
      </c>
      <c r="W1278" s="1">
        <v>0</v>
      </c>
      <c r="X1278" s="1">
        <v>0</v>
      </c>
      <c r="Y1278" s="1">
        <v>0</v>
      </c>
      <c r="Z1278" s="1">
        <v>0</v>
      </c>
      <c r="AA1278" s="1">
        <v>0</v>
      </c>
      <c r="AB1278" s="1">
        <v>0</v>
      </c>
      <c r="AC1278" s="1">
        <v>0</v>
      </c>
      <c r="AD1278" s="1">
        <v>0</v>
      </c>
    </row>
    <row r="1279" spans="1:30" s="20" customFormat="1" ht="35.25" customHeight="1" x14ac:dyDescent="0.25">
      <c r="A1279" s="2">
        <f t="shared" si="683"/>
        <v>1238</v>
      </c>
      <c r="B1279" s="6">
        <f>A1279</f>
        <v>1238</v>
      </c>
      <c r="C1279" s="19" t="s">
        <v>1962</v>
      </c>
      <c r="D1279" s="8">
        <f t="shared" si="682"/>
        <v>10700000</v>
      </c>
      <c r="E1279" s="1">
        <f>SUM(F1279:K1279)</f>
        <v>0</v>
      </c>
      <c r="F1279" s="1">
        <v>0</v>
      </c>
      <c r="G1279" s="1">
        <v>0</v>
      </c>
      <c r="H1279" s="1">
        <v>0</v>
      </c>
      <c r="I1279" s="1">
        <v>0</v>
      </c>
      <c r="J1279" s="1">
        <v>0</v>
      </c>
      <c r="K1279" s="1">
        <v>0</v>
      </c>
      <c r="L1279" s="2">
        <v>3</v>
      </c>
      <c r="M1279" s="1">
        <f>L1279*3500000</f>
        <v>10500000</v>
      </c>
      <c r="N1279" s="1">
        <v>0</v>
      </c>
      <c r="O1279" s="1">
        <v>0</v>
      </c>
      <c r="P1279" s="1">
        <v>0</v>
      </c>
      <c r="Q1279" s="1">
        <f>1400*P1279</f>
        <v>0</v>
      </c>
      <c r="R1279" s="1">
        <v>0</v>
      </c>
      <c r="S1279" s="1">
        <f>R1279*3751</f>
        <v>0</v>
      </c>
      <c r="T1279" s="1">
        <v>0</v>
      </c>
      <c r="U1279" s="1">
        <v>200000</v>
      </c>
      <c r="V1279" s="1">
        <v>0</v>
      </c>
      <c r="W1279" s="1">
        <v>0</v>
      </c>
      <c r="X1279" s="1">
        <v>0</v>
      </c>
      <c r="Y1279" s="1">
        <v>0</v>
      </c>
      <c r="Z1279" s="1">
        <v>0</v>
      </c>
      <c r="AA1279" s="1">
        <v>0</v>
      </c>
      <c r="AB1279" s="1">
        <v>0</v>
      </c>
      <c r="AC1279" s="1">
        <v>0</v>
      </c>
      <c r="AD1279" s="1">
        <v>0</v>
      </c>
    </row>
    <row r="1280" spans="1:30" s="20" customFormat="1" ht="36" customHeight="1" x14ac:dyDescent="0.25">
      <c r="A1280" s="2">
        <f t="shared" si="683"/>
        <v>1239</v>
      </c>
      <c r="B1280" s="6">
        <f t="shared" si="687"/>
        <v>1239</v>
      </c>
      <c r="C1280" s="19" t="s">
        <v>699</v>
      </c>
      <c r="D1280" s="4">
        <f t="shared" si="682"/>
        <v>5460533</v>
      </c>
      <c r="E1280" s="1">
        <f t="shared" si="684"/>
        <v>3196206</v>
      </c>
      <c r="F1280" s="1">
        <f>804*814.32</f>
        <v>654713.28</v>
      </c>
      <c r="G1280" s="1">
        <f>1693*814.32</f>
        <v>1378643.76</v>
      </c>
      <c r="H1280" s="1">
        <f>390*814.32</f>
        <v>317584.80000000005</v>
      </c>
      <c r="I1280" s="1">
        <f>571*814.32</f>
        <v>464976.72000000003</v>
      </c>
      <c r="J1280" s="1">
        <f>467*814.32</f>
        <v>380287.44</v>
      </c>
      <c r="K1280" s="1">
        <v>0</v>
      </c>
      <c r="L1280" s="2">
        <v>0</v>
      </c>
      <c r="M1280" s="1">
        <v>0</v>
      </c>
      <c r="N1280" s="1">
        <v>0</v>
      </c>
      <c r="O1280" s="1">
        <v>0</v>
      </c>
      <c r="P1280" s="1">
        <v>0</v>
      </c>
      <c r="Q1280" s="1">
        <f t="shared" si="685"/>
        <v>0</v>
      </c>
      <c r="R1280" s="1">
        <v>577</v>
      </c>
      <c r="S1280" s="1">
        <f t="shared" si="686"/>
        <v>2164327</v>
      </c>
      <c r="T1280" s="1">
        <v>0</v>
      </c>
      <c r="U1280" s="1">
        <v>50000</v>
      </c>
      <c r="V1280" s="1">
        <v>0</v>
      </c>
      <c r="W1280" s="1">
        <v>50000</v>
      </c>
      <c r="X1280" s="1">
        <v>0</v>
      </c>
      <c r="Y1280" s="1">
        <v>0</v>
      </c>
      <c r="Z1280" s="1">
        <v>0</v>
      </c>
      <c r="AA1280" s="1">
        <v>0</v>
      </c>
      <c r="AB1280" s="1">
        <v>0</v>
      </c>
      <c r="AC1280" s="1">
        <v>0</v>
      </c>
      <c r="AD1280" s="1">
        <v>0</v>
      </c>
    </row>
    <row r="1281" spans="1:30" s="20" customFormat="1" ht="36" customHeight="1" x14ac:dyDescent="0.25">
      <c r="A1281" s="2">
        <f t="shared" si="683"/>
        <v>1240</v>
      </c>
      <c r="B1281" s="6">
        <f t="shared" si="687"/>
        <v>1240</v>
      </c>
      <c r="C1281" s="19" t="s">
        <v>700</v>
      </c>
      <c r="D1281" s="4">
        <f t="shared" si="682"/>
        <v>1277234.2999999998</v>
      </c>
      <c r="E1281" s="1">
        <f t="shared" si="684"/>
        <v>957234.29999999993</v>
      </c>
      <c r="F1281" s="1">
        <f>804*576.3</f>
        <v>463345.19999999995</v>
      </c>
      <c r="G1281" s="1">
        <v>0</v>
      </c>
      <c r="H1281" s="1">
        <f>390*576.3</f>
        <v>224756.99999999997</v>
      </c>
      <c r="I1281" s="1">
        <v>0</v>
      </c>
      <c r="J1281" s="1">
        <f>467*576.3</f>
        <v>269132.09999999998</v>
      </c>
      <c r="K1281" s="1">
        <v>0</v>
      </c>
      <c r="L1281" s="2">
        <v>0</v>
      </c>
      <c r="M1281" s="1">
        <v>0</v>
      </c>
      <c r="N1281" s="1">
        <v>0</v>
      </c>
      <c r="O1281" s="1">
        <v>0</v>
      </c>
      <c r="P1281" s="1">
        <v>50</v>
      </c>
      <c r="Q1281" s="1">
        <f t="shared" si="685"/>
        <v>70000</v>
      </c>
      <c r="R1281" s="1">
        <v>0</v>
      </c>
      <c r="S1281" s="1">
        <f t="shared" si="686"/>
        <v>0</v>
      </c>
      <c r="T1281" s="1">
        <v>150000</v>
      </c>
      <c r="U1281" s="1">
        <v>50000</v>
      </c>
      <c r="V1281" s="1">
        <v>0</v>
      </c>
      <c r="W1281" s="1">
        <v>50000</v>
      </c>
      <c r="X1281" s="1">
        <v>0</v>
      </c>
      <c r="Y1281" s="1">
        <v>0</v>
      </c>
      <c r="Z1281" s="1">
        <v>0</v>
      </c>
      <c r="AA1281" s="1">
        <v>0</v>
      </c>
      <c r="AB1281" s="1">
        <v>0</v>
      </c>
      <c r="AC1281" s="1">
        <v>0</v>
      </c>
      <c r="AD1281" s="1">
        <v>0</v>
      </c>
    </row>
    <row r="1282" spans="1:30" s="20" customFormat="1" ht="36" customHeight="1" x14ac:dyDescent="0.25">
      <c r="A1282" s="2">
        <f t="shared" si="683"/>
        <v>1241</v>
      </c>
      <c r="B1282" s="6">
        <f t="shared" si="687"/>
        <v>1241</v>
      </c>
      <c r="C1282" s="19" t="s">
        <v>701</v>
      </c>
      <c r="D1282" s="4">
        <f t="shared" si="682"/>
        <v>1284126.8999999999</v>
      </c>
      <c r="E1282" s="1">
        <f t="shared" si="684"/>
        <v>1184126.8999999999</v>
      </c>
      <c r="F1282" s="1">
        <f>804*712.9</f>
        <v>573171.6</v>
      </c>
      <c r="G1282" s="1">
        <v>0</v>
      </c>
      <c r="H1282" s="1">
        <f>390*712.9</f>
        <v>278031</v>
      </c>
      <c r="I1282" s="1">
        <v>0</v>
      </c>
      <c r="J1282" s="1">
        <f>467*712.9</f>
        <v>332924.3</v>
      </c>
      <c r="K1282" s="1">
        <v>0</v>
      </c>
      <c r="L1282" s="2">
        <v>0</v>
      </c>
      <c r="M1282" s="1">
        <v>0</v>
      </c>
      <c r="N1282" s="1">
        <v>0</v>
      </c>
      <c r="O1282" s="1">
        <v>0</v>
      </c>
      <c r="P1282" s="1">
        <v>0</v>
      </c>
      <c r="Q1282" s="1">
        <f t="shared" si="685"/>
        <v>0</v>
      </c>
      <c r="R1282" s="1">
        <v>0</v>
      </c>
      <c r="S1282" s="1">
        <f t="shared" si="686"/>
        <v>0</v>
      </c>
      <c r="T1282" s="1">
        <v>0</v>
      </c>
      <c r="U1282" s="1">
        <v>50000</v>
      </c>
      <c r="V1282" s="1">
        <v>0</v>
      </c>
      <c r="W1282" s="1">
        <v>50000</v>
      </c>
      <c r="X1282" s="1">
        <v>0</v>
      </c>
      <c r="Y1282" s="1">
        <v>0</v>
      </c>
      <c r="Z1282" s="1">
        <v>0</v>
      </c>
      <c r="AA1282" s="1">
        <v>0</v>
      </c>
      <c r="AB1282" s="1">
        <v>0</v>
      </c>
      <c r="AC1282" s="1">
        <v>0</v>
      </c>
      <c r="AD1282" s="1">
        <v>0</v>
      </c>
    </row>
    <row r="1283" spans="1:30" s="20" customFormat="1" ht="36" customHeight="1" x14ac:dyDescent="0.25">
      <c r="A1283" s="2">
        <f t="shared" si="683"/>
        <v>1242</v>
      </c>
      <c r="B1283" s="6">
        <f t="shared" si="687"/>
        <v>1242</v>
      </c>
      <c r="C1283" s="19" t="s">
        <v>702</v>
      </c>
      <c r="D1283" s="4">
        <f t="shared" si="682"/>
        <v>6300000</v>
      </c>
      <c r="E1283" s="1">
        <f t="shared" si="684"/>
        <v>0</v>
      </c>
      <c r="F1283" s="1">
        <v>0</v>
      </c>
      <c r="G1283" s="1">
        <v>0</v>
      </c>
      <c r="H1283" s="1">
        <v>0</v>
      </c>
      <c r="I1283" s="1">
        <v>0</v>
      </c>
      <c r="J1283" s="1">
        <v>0</v>
      </c>
      <c r="K1283" s="1">
        <v>0</v>
      </c>
      <c r="L1283" s="2">
        <v>0</v>
      </c>
      <c r="M1283" s="1">
        <v>0</v>
      </c>
      <c r="N1283" s="1">
        <v>800</v>
      </c>
      <c r="O1283" s="1">
        <f>N1283*7750</f>
        <v>6200000</v>
      </c>
      <c r="P1283" s="1">
        <v>0</v>
      </c>
      <c r="Q1283" s="1">
        <f t="shared" si="685"/>
        <v>0</v>
      </c>
      <c r="R1283" s="1">
        <v>0</v>
      </c>
      <c r="S1283" s="1">
        <f t="shared" si="686"/>
        <v>0</v>
      </c>
      <c r="T1283" s="1">
        <v>0</v>
      </c>
      <c r="U1283" s="1">
        <v>50000</v>
      </c>
      <c r="V1283" s="1">
        <v>0</v>
      </c>
      <c r="W1283" s="1">
        <v>50000</v>
      </c>
      <c r="X1283" s="1">
        <v>0</v>
      </c>
      <c r="Y1283" s="1">
        <v>0</v>
      </c>
      <c r="Z1283" s="1">
        <v>0</v>
      </c>
      <c r="AA1283" s="1">
        <v>0</v>
      </c>
      <c r="AB1283" s="1">
        <v>0</v>
      </c>
      <c r="AC1283" s="1">
        <v>0</v>
      </c>
      <c r="AD1283" s="1">
        <v>0</v>
      </c>
    </row>
    <row r="1284" spans="1:30" s="20" customFormat="1" ht="36" customHeight="1" x14ac:dyDescent="0.25">
      <c r="A1284" s="2">
        <f t="shared" si="683"/>
        <v>1243</v>
      </c>
      <c r="B1284" s="6">
        <f t="shared" si="687"/>
        <v>1243</v>
      </c>
      <c r="C1284" s="19" t="s">
        <v>703</v>
      </c>
      <c r="D1284" s="4">
        <f t="shared" si="682"/>
        <v>1725975</v>
      </c>
      <c r="E1284" s="1">
        <f t="shared" si="684"/>
        <v>1675975</v>
      </c>
      <c r="F1284" s="1">
        <f>804*427</f>
        <v>343308</v>
      </c>
      <c r="G1284" s="1">
        <f>1693*427</f>
        <v>722911</v>
      </c>
      <c r="H1284" s="1">
        <f>390*427</f>
        <v>166530</v>
      </c>
      <c r="I1284" s="1">
        <f>571*427</f>
        <v>243817</v>
      </c>
      <c r="J1284" s="1">
        <f>467*427</f>
        <v>199409</v>
      </c>
      <c r="K1284" s="1">
        <v>0</v>
      </c>
      <c r="L1284" s="2">
        <v>0</v>
      </c>
      <c r="M1284" s="1">
        <v>0</v>
      </c>
      <c r="N1284" s="1">
        <v>0</v>
      </c>
      <c r="O1284" s="1">
        <v>0</v>
      </c>
      <c r="P1284" s="1">
        <v>0</v>
      </c>
      <c r="Q1284" s="1">
        <f t="shared" si="685"/>
        <v>0</v>
      </c>
      <c r="R1284" s="1">
        <v>0</v>
      </c>
      <c r="S1284" s="1">
        <f t="shared" si="686"/>
        <v>0</v>
      </c>
      <c r="T1284" s="1">
        <v>0</v>
      </c>
      <c r="U1284" s="1">
        <v>0</v>
      </c>
      <c r="V1284" s="1">
        <v>0</v>
      </c>
      <c r="W1284" s="1">
        <v>50000</v>
      </c>
      <c r="X1284" s="1">
        <v>0</v>
      </c>
      <c r="Y1284" s="1">
        <v>0</v>
      </c>
      <c r="Z1284" s="1">
        <v>0</v>
      </c>
      <c r="AA1284" s="1">
        <v>0</v>
      </c>
      <c r="AB1284" s="1">
        <v>0</v>
      </c>
      <c r="AC1284" s="1">
        <v>0</v>
      </c>
      <c r="AD1284" s="1">
        <v>0</v>
      </c>
    </row>
    <row r="1285" spans="1:30" s="20" customFormat="1" ht="36" customHeight="1" x14ac:dyDescent="0.25">
      <c r="A1285" s="2">
        <f t="shared" si="683"/>
        <v>1244</v>
      </c>
      <c r="B1285" s="6">
        <f t="shared" si="687"/>
        <v>1244</v>
      </c>
      <c r="C1285" s="19" t="s">
        <v>704</v>
      </c>
      <c r="D1285" s="4">
        <f t="shared" si="682"/>
        <v>710595.3</v>
      </c>
      <c r="E1285" s="1">
        <f t="shared" si="684"/>
        <v>460595.30000000005</v>
      </c>
      <c r="F1285" s="1">
        <f>804*277.3</f>
        <v>222949.2</v>
      </c>
      <c r="G1285" s="1">
        <v>0</v>
      </c>
      <c r="H1285" s="1">
        <f>390*277.3</f>
        <v>108147</v>
      </c>
      <c r="I1285" s="1">
        <v>0</v>
      </c>
      <c r="J1285" s="1">
        <f>467*277.3</f>
        <v>129499.1</v>
      </c>
      <c r="K1285" s="1">
        <v>0</v>
      </c>
      <c r="L1285" s="2">
        <v>0</v>
      </c>
      <c r="M1285" s="1">
        <v>0</v>
      </c>
      <c r="N1285" s="1">
        <v>0</v>
      </c>
      <c r="O1285" s="1">
        <v>0</v>
      </c>
      <c r="P1285" s="1">
        <v>0</v>
      </c>
      <c r="Q1285" s="1">
        <f t="shared" si="685"/>
        <v>0</v>
      </c>
      <c r="R1285" s="1">
        <v>0</v>
      </c>
      <c r="S1285" s="1">
        <f t="shared" si="686"/>
        <v>0</v>
      </c>
      <c r="T1285" s="1">
        <v>150000</v>
      </c>
      <c r="U1285" s="1">
        <v>50000</v>
      </c>
      <c r="V1285" s="1">
        <v>0</v>
      </c>
      <c r="W1285" s="1">
        <v>50000</v>
      </c>
      <c r="X1285" s="1">
        <v>0</v>
      </c>
      <c r="Y1285" s="1">
        <v>0</v>
      </c>
      <c r="Z1285" s="1">
        <v>0</v>
      </c>
      <c r="AA1285" s="1">
        <v>0</v>
      </c>
      <c r="AB1285" s="1">
        <v>0</v>
      </c>
      <c r="AC1285" s="1">
        <v>0</v>
      </c>
      <c r="AD1285" s="1">
        <v>0</v>
      </c>
    </row>
    <row r="1286" spans="1:30" s="20" customFormat="1" ht="36" customHeight="1" x14ac:dyDescent="0.25">
      <c r="A1286" s="2">
        <f t="shared" si="683"/>
        <v>1245</v>
      </c>
      <c r="B1286" s="6">
        <f>A1286</f>
        <v>1245</v>
      </c>
      <c r="C1286" s="19" t="s">
        <v>1670</v>
      </c>
      <c r="D1286" s="4">
        <f t="shared" si="682"/>
        <v>5547362.5</v>
      </c>
      <c r="E1286" s="1">
        <f t="shared" si="684"/>
        <v>2407202.5</v>
      </c>
      <c r="F1286" s="1">
        <f>804*613.3</f>
        <v>493093.19999999995</v>
      </c>
      <c r="G1286" s="1">
        <f>1693*613.3</f>
        <v>1038316.8999999999</v>
      </c>
      <c r="H1286" s="1">
        <f>390*613.3</f>
        <v>239186.99999999997</v>
      </c>
      <c r="I1286" s="1">
        <f>571*613.3</f>
        <v>350194.3</v>
      </c>
      <c r="J1286" s="1">
        <f>467*613.3</f>
        <v>286411.09999999998</v>
      </c>
      <c r="K1286" s="1">
        <v>0</v>
      </c>
      <c r="L1286" s="2">
        <v>0</v>
      </c>
      <c r="M1286" s="1">
        <v>0</v>
      </c>
      <c r="N1286" s="1">
        <v>320</v>
      </c>
      <c r="O1286" s="1">
        <f>N1286*4968</f>
        <v>1589760</v>
      </c>
      <c r="P1286" s="1">
        <v>0</v>
      </c>
      <c r="Q1286" s="1">
        <f t="shared" si="685"/>
        <v>0</v>
      </c>
      <c r="R1286" s="1">
        <v>400</v>
      </c>
      <c r="S1286" s="1">
        <f>R1286*3751</f>
        <v>1500400</v>
      </c>
      <c r="T1286" s="1">
        <v>0</v>
      </c>
      <c r="U1286" s="1">
        <v>50000</v>
      </c>
      <c r="V1286" s="1">
        <v>0</v>
      </c>
      <c r="W1286" s="1">
        <v>0</v>
      </c>
      <c r="X1286" s="1">
        <v>0</v>
      </c>
      <c r="Y1286" s="1">
        <v>0</v>
      </c>
      <c r="Z1286" s="1">
        <v>0</v>
      </c>
      <c r="AA1286" s="1">
        <v>0</v>
      </c>
      <c r="AB1286" s="1">
        <v>0</v>
      </c>
      <c r="AC1286" s="1">
        <v>0</v>
      </c>
      <c r="AD1286" s="1">
        <v>0</v>
      </c>
    </row>
    <row r="1287" spans="1:30" s="21" customFormat="1" ht="35.1" customHeight="1" x14ac:dyDescent="0.25">
      <c r="A1287" s="2">
        <f t="shared" si="683"/>
        <v>1246</v>
      </c>
      <c r="B1287" s="6">
        <f>A1287</f>
        <v>1246</v>
      </c>
      <c r="C1287" s="19" t="s">
        <v>61</v>
      </c>
      <c r="D1287" s="4">
        <f t="shared" si="682"/>
        <v>1125300</v>
      </c>
      <c r="E1287" s="1">
        <f t="shared" si="684"/>
        <v>0</v>
      </c>
      <c r="F1287" s="1">
        <v>0</v>
      </c>
      <c r="G1287" s="1">
        <v>0</v>
      </c>
      <c r="H1287" s="1">
        <v>0</v>
      </c>
      <c r="I1287" s="1">
        <v>0</v>
      </c>
      <c r="J1287" s="1">
        <v>0</v>
      </c>
      <c r="K1287" s="1">
        <v>0</v>
      </c>
      <c r="L1287" s="2">
        <v>0</v>
      </c>
      <c r="M1287" s="1">
        <v>0</v>
      </c>
      <c r="N1287" s="1">
        <v>0</v>
      </c>
      <c r="O1287" s="1">
        <v>0</v>
      </c>
      <c r="P1287" s="1">
        <v>0</v>
      </c>
      <c r="Q1287" s="1">
        <f t="shared" si="685"/>
        <v>0</v>
      </c>
      <c r="R1287" s="1">
        <v>300</v>
      </c>
      <c r="S1287" s="1">
        <f>R1287*3751</f>
        <v>1125300</v>
      </c>
      <c r="T1287" s="1">
        <v>0</v>
      </c>
      <c r="U1287" s="1">
        <v>0</v>
      </c>
      <c r="V1287" s="1">
        <v>0</v>
      </c>
      <c r="W1287" s="1">
        <v>0</v>
      </c>
      <c r="X1287" s="1">
        <v>0</v>
      </c>
      <c r="Y1287" s="1">
        <v>0</v>
      </c>
      <c r="Z1287" s="1">
        <v>0</v>
      </c>
      <c r="AA1287" s="1">
        <v>0</v>
      </c>
      <c r="AB1287" s="1">
        <v>0</v>
      </c>
      <c r="AC1287" s="1">
        <v>0</v>
      </c>
      <c r="AD1287" s="1">
        <v>0</v>
      </c>
    </row>
    <row r="1288" spans="1:30" s="20" customFormat="1" ht="54.95" customHeight="1" x14ac:dyDescent="0.25">
      <c r="A1288" s="3"/>
      <c r="B1288" s="47" t="s">
        <v>1970</v>
      </c>
      <c r="C1288" s="48"/>
      <c r="D1288" s="4">
        <f>SUM(D1289:D1295)</f>
        <v>26817515.030000001</v>
      </c>
      <c r="E1288" s="4">
        <f t="shared" ref="E1288:AD1288" si="688">SUM(E1289:E1295)</f>
        <v>3940765.09</v>
      </c>
      <c r="F1288" s="4">
        <f t="shared" si="688"/>
        <v>2321300.7600000002</v>
      </c>
      <c r="G1288" s="4">
        <f t="shared" si="688"/>
        <v>0</v>
      </c>
      <c r="H1288" s="4">
        <f t="shared" si="688"/>
        <v>736979.1</v>
      </c>
      <c r="I1288" s="4">
        <f t="shared" si="688"/>
        <v>0</v>
      </c>
      <c r="J1288" s="4">
        <f t="shared" si="688"/>
        <v>882485.23</v>
      </c>
      <c r="K1288" s="4">
        <f t="shared" si="688"/>
        <v>0</v>
      </c>
      <c r="L1288" s="17">
        <f t="shared" si="688"/>
        <v>0</v>
      </c>
      <c r="M1288" s="4">
        <f t="shared" si="688"/>
        <v>0</v>
      </c>
      <c r="N1288" s="4">
        <f t="shared" si="688"/>
        <v>1725.3500000000001</v>
      </c>
      <c r="O1288" s="4">
        <f t="shared" si="688"/>
        <v>13371462.5</v>
      </c>
      <c r="P1288" s="4">
        <f t="shared" si="688"/>
        <v>0</v>
      </c>
      <c r="Q1288" s="4">
        <f t="shared" si="688"/>
        <v>0</v>
      </c>
      <c r="R1288" s="4">
        <f t="shared" si="688"/>
        <v>2387.44</v>
      </c>
      <c r="S1288" s="4">
        <f t="shared" si="688"/>
        <v>8955287.4399999995</v>
      </c>
      <c r="T1288" s="4">
        <f t="shared" si="688"/>
        <v>0</v>
      </c>
      <c r="U1288" s="4">
        <f t="shared" si="688"/>
        <v>350000</v>
      </c>
      <c r="V1288" s="4">
        <f t="shared" si="688"/>
        <v>0</v>
      </c>
      <c r="W1288" s="4">
        <f t="shared" si="688"/>
        <v>200000</v>
      </c>
      <c r="X1288" s="4">
        <f t="shared" si="688"/>
        <v>0</v>
      </c>
      <c r="Y1288" s="4">
        <f t="shared" si="688"/>
        <v>0</v>
      </c>
      <c r="Z1288" s="4">
        <f t="shared" si="688"/>
        <v>0</v>
      </c>
      <c r="AA1288" s="4">
        <f t="shared" si="688"/>
        <v>0</v>
      </c>
      <c r="AB1288" s="4">
        <f t="shared" si="688"/>
        <v>0</v>
      </c>
      <c r="AC1288" s="4">
        <f t="shared" si="688"/>
        <v>0</v>
      </c>
      <c r="AD1288" s="4">
        <f t="shared" si="688"/>
        <v>0</v>
      </c>
    </row>
    <row r="1289" spans="1:30" s="20" customFormat="1" ht="36" customHeight="1" x14ac:dyDescent="0.25">
      <c r="A1289" s="2">
        <f>ROW()-ROW($A$11)-31</f>
        <v>1247</v>
      </c>
      <c r="B1289" s="6">
        <f t="shared" ref="B1289:B1295" si="689">A1289</f>
        <v>1247</v>
      </c>
      <c r="C1289" s="19" t="s">
        <v>1262</v>
      </c>
      <c r="D1289" s="4">
        <f t="shared" ref="D1289:D1295" si="690">E1289+M1289+O1289+Q1289+S1289+T1289+U1289+V1289+W1289+X1289+Z1289+AA1289+AB1289+AC1289+AD1289</f>
        <v>434633.6</v>
      </c>
      <c r="E1289" s="1">
        <f t="shared" ref="E1289:E1295" si="691">SUM(F1289:K1289)</f>
        <v>384633.59999999998</v>
      </c>
      <c r="F1289" s="1">
        <f>804*478.4</f>
        <v>384633.59999999998</v>
      </c>
      <c r="G1289" s="1">
        <v>0</v>
      </c>
      <c r="H1289" s="1">
        <v>0</v>
      </c>
      <c r="I1289" s="1">
        <v>0</v>
      </c>
      <c r="J1289" s="1">
        <v>0</v>
      </c>
      <c r="K1289" s="1">
        <v>0</v>
      </c>
      <c r="L1289" s="2">
        <v>0</v>
      </c>
      <c r="M1289" s="1">
        <v>0</v>
      </c>
      <c r="N1289" s="1">
        <v>0</v>
      </c>
      <c r="O1289" s="1">
        <v>0</v>
      </c>
      <c r="P1289" s="1">
        <v>0</v>
      </c>
      <c r="Q1289" s="1">
        <f t="shared" ref="Q1289:Q1295" si="692">P1289*1400</f>
        <v>0</v>
      </c>
      <c r="R1289" s="1">
        <v>0</v>
      </c>
      <c r="S1289" s="1">
        <f t="shared" ref="S1289:S1295" si="693">R1289*3751</f>
        <v>0</v>
      </c>
      <c r="T1289" s="1">
        <v>0</v>
      </c>
      <c r="U1289" s="1">
        <v>50000</v>
      </c>
      <c r="V1289" s="1">
        <v>0</v>
      </c>
      <c r="W1289" s="1">
        <v>0</v>
      </c>
      <c r="X1289" s="1">
        <v>0</v>
      </c>
      <c r="Y1289" s="1">
        <v>0</v>
      </c>
      <c r="Z1289" s="1">
        <v>0</v>
      </c>
      <c r="AA1289" s="1">
        <v>0</v>
      </c>
      <c r="AB1289" s="1">
        <v>0</v>
      </c>
      <c r="AC1289" s="1">
        <v>0</v>
      </c>
      <c r="AD1289" s="1">
        <v>0</v>
      </c>
    </row>
    <row r="1290" spans="1:30" s="20" customFormat="1" ht="36" customHeight="1" x14ac:dyDescent="0.25">
      <c r="A1290" s="2">
        <f t="shared" ref="A1290:A1295" si="694">ROW()-ROW($A$11)-31</f>
        <v>1248</v>
      </c>
      <c r="B1290" s="6">
        <f t="shared" si="689"/>
        <v>1248</v>
      </c>
      <c r="C1290" s="19" t="s">
        <v>705</v>
      </c>
      <c r="D1290" s="4">
        <f t="shared" si="690"/>
        <v>5162402.5600000005</v>
      </c>
      <c r="E1290" s="1">
        <f t="shared" si="691"/>
        <v>724960.05999999994</v>
      </c>
      <c r="F1290" s="1">
        <f>804*436.46</f>
        <v>350913.83999999997</v>
      </c>
      <c r="G1290" s="1">
        <v>0</v>
      </c>
      <c r="H1290" s="1">
        <f>390*436.46</f>
        <v>170219.4</v>
      </c>
      <c r="I1290" s="1">
        <v>0</v>
      </c>
      <c r="J1290" s="1">
        <f>467*436.46</f>
        <v>203826.81999999998</v>
      </c>
      <c r="K1290" s="1">
        <v>0</v>
      </c>
      <c r="L1290" s="2">
        <v>0</v>
      </c>
      <c r="M1290" s="1">
        <v>0</v>
      </c>
      <c r="N1290" s="1">
        <v>280.16000000000003</v>
      </c>
      <c r="O1290" s="1">
        <f>N1290*7750</f>
        <v>2171240</v>
      </c>
      <c r="P1290" s="1">
        <v>0</v>
      </c>
      <c r="Q1290" s="1">
        <f t="shared" si="692"/>
        <v>0</v>
      </c>
      <c r="R1290" s="7">
        <v>577.5</v>
      </c>
      <c r="S1290" s="1">
        <f t="shared" si="693"/>
        <v>2166202.5</v>
      </c>
      <c r="T1290" s="1">
        <v>0</v>
      </c>
      <c r="U1290" s="1">
        <v>50000</v>
      </c>
      <c r="V1290" s="1">
        <v>0</v>
      </c>
      <c r="W1290" s="1">
        <v>50000</v>
      </c>
      <c r="X1290" s="1">
        <v>0</v>
      </c>
      <c r="Y1290" s="1">
        <v>0</v>
      </c>
      <c r="Z1290" s="1">
        <v>0</v>
      </c>
      <c r="AA1290" s="1">
        <v>0</v>
      </c>
      <c r="AB1290" s="1">
        <v>0</v>
      </c>
      <c r="AC1290" s="1">
        <v>0</v>
      </c>
      <c r="AD1290" s="1">
        <v>0</v>
      </c>
    </row>
    <row r="1291" spans="1:30" s="20" customFormat="1" ht="36" customHeight="1" x14ac:dyDescent="0.25">
      <c r="A1291" s="2">
        <f t="shared" si="694"/>
        <v>1249</v>
      </c>
      <c r="B1291" s="6">
        <f t="shared" si="689"/>
        <v>1249</v>
      </c>
      <c r="C1291" s="19" t="s">
        <v>706</v>
      </c>
      <c r="D1291" s="4">
        <f t="shared" si="690"/>
        <v>5966531.2599999998</v>
      </c>
      <c r="E1291" s="1">
        <f t="shared" si="691"/>
        <v>956885.49000000011</v>
      </c>
      <c r="F1291" s="1">
        <f>804*576.09</f>
        <v>463176.36000000004</v>
      </c>
      <c r="G1291" s="1">
        <v>0</v>
      </c>
      <c r="H1291" s="1">
        <f>390*576.09</f>
        <v>224675.1</v>
      </c>
      <c r="I1291" s="1">
        <v>0</v>
      </c>
      <c r="J1291" s="1">
        <f>467*576.09</f>
        <v>269034.03000000003</v>
      </c>
      <c r="K1291" s="1">
        <v>0</v>
      </c>
      <c r="L1291" s="2">
        <v>0</v>
      </c>
      <c r="M1291" s="1">
        <v>0</v>
      </c>
      <c r="N1291" s="25">
        <v>371.77</v>
      </c>
      <c r="O1291" s="1">
        <f>N1291*7750</f>
        <v>2881217.5</v>
      </c>
      <c r="P1291" s="1">
        <v>0</v>
      </c>
      <c r="Q1291" s="1">
        <f t="shared" si="692"/>
        <v>0</v>
      </c>
      <c r="R1291" s="25">
        <v>540.77</v>
      </c>
      <c r="S1291" s="1">
        <f t="shared" si="693"/>
        <v>2028428.27</v>
      </c>
      <c r="T1291" s="1">
        <v>0</v>
      </c>
      <c r="U1291" s="1">
        <v>50000</v>
      </c>
      <c r="V1291" s="1">
        <v>0</v>
      </c>
      <c r="W1291" s="1">
        <v>50000</v>
      </c>
      <c r="X1291" s="1">
        <v>0</v>
      </c>
      <c r="Y1291" s="1">
        <v>0</v>
      </c>
      <c r="Z1291" s="1">
        <v>0</v>
      </c>
      <c r="AA1291" s="1">
        <v>0</v>
      </c>
      <c r="AB1291" s="1">
        <v>0</v>
      </c>
      <c r="AC1291" s="1">
        <v>0</v>
      </c>
      <c r="AD1291" s="1">
        <v>0</v>
      </c>
    </row>
    <row r="1292" spans="1:30" s="20" customFormat="1" ht="36" customHeight="1" x14ac:dyDescent="0.25">
      <c r="A1292" s="2">
        <f t="shared" si="694"/>
        <v>1250</v>
      </c>
      <c r="B1292" s="6">
        <f t="shared" si="689"/>
        <v>1250</v>
      </c>
      <c r="C1292" s="19" t="s">
        <v>707</v>
      </c>
      <c r="D1292" s="4">
        <f t="shared" si="690"/>
        <v>7208605.6100000003</v>
      </c>
      <c r="E1292" s="1">
        <f t="shared" si="691"/>
        <v>945341.54</v>
      </c>
      <c r="F1292" s="1">
        <f>804*569.14</f>
        <v>457588.56</v>
      </c>
      <c r="G1292" s="1">
        <v>0</v>
      </c>
      <c r="H1292" s="1">
        <f>390*569.14</f>
        <v>221964.6</v>
      </c>
      <c r="I1292" s="1">
        <v>0</v>
      </c>
      <c r="J1292" s="1">
        <f>467*569.14</f>
        <v>265788.38</v>
      </c>
      <c r="K1292" s="1">
        <v>0</v>
      </c>
      <c r="L1292" s="2">
        <v>0</v>
      </c>
      <c r="M1292" s="1">
        <v>0</v>
      </c>
      <c r="N1292" s="7">
        <v>373.42</v>
      </c>
      <c r="O1292" s="1">
        <f>N1292*7750</f>
        <v>2894005</v>
      </c>
      <c r="P1292" s="1">
        <v>0</v>
      </c>
      <c r="Q1292" s="1">
        <f t="shared" si="692"/>
        <v>0</v>
      </c>
      <c r="R1292" s="7">
        <v>871.57</v>
      </c>
      <c r="S1292" s="1">
        <f t="shared" si="693"/>
        <v>3269259.0700000003</v>
      </c>
      <c r="T1292" s="1">
        <v>0</v>
      </c>
      <c r="U1292" s="1">
        <v>50000</v>
      </c>
      <c r="V1292" s="1">
        <v>0</v>
      </c>
      <c r="W1292" s="1">
        <v>50000</v>
      </c>
      <c r="X1292" s="1">
        <v>0</v>
      </c>
      <c r="Y1292" s="1">
        <v>0</v>
      </c>
      <c r="Z1292" s="1">
        <v>0</v>
      </c>
      <c r="AA1292" s="1">
        <v>0</v>
      </c>
      <c r="AB1292" s="1">
        <v>0</v>
      </c>
      <c r="AC1292" s="1">
        <v>0</v>
      </c>
      <c r="AD1292" s="1">
        <v>0</v>
      </c>
    </row>
    <row r="1293" spans="1:30" s="20" customFormat="1" ht="36" customHeight="1" x14ac:dyDescent="0.25">
      <c r="A1293" s="2">
        <f t="shared" si="694"/>
        <v>1251</v>
      </c>
      <c r="B1293" s="6">
        <f t="shared" ref="B1293" si="695">A1293</f>
        <v>1251</v>
      </c>
      <c r="C1293" s="19" t="s">
        <v>2234</v>
      </c>
      <c r="D1293" s="4">
        <f t="shared" si="690"/>
        <v>5475000</v>
      </c>
      <c r="E1293" s="1">
        <f t="shared" ref="E1293" si="696">SUM(F1293:K1293)</f>
        <v>0</v>
      </c>
      <c r="F1293" s="1">
        <v>0</v>
      </c>
      <c r="G1293" s="1">
        <v>0</v>
      </c>
      <c r="H1293" s="1">
        <v>0</v>
      </c>
      <c r="I1293" s="1">
        <v>0</v>
      </c>
      <c r="J1293" s="1">
        <v>0</v>
      </c>
      <c r="K1293" s="1">
        <v>0</v>
      </c>
      <c r="L1293" s="2">
        <v>0</v>
      </c>
      <c r="M1293" s="1">
        <v>0</v>
      </c>
      <c r="N1293" s="1">
        <v>700</v>
      </c>
      <c r="O1293" s="1">
        <f>N1293*7750</f>
        <v>5425000</v>
      </c>
      <c r="P1293" s="1">
        <v>0</v>
      </c>
      <c r="Q1293" s="1">
        <f t="shared" ref="Q1293" si="697">P1293*1400</f>
        <v>0</v>
      </c>
      <c r="R1293" s="1">
        <v>0</v>
      </c>
      <c r="S1293" s="1">
        <f t="shared" ref="S1293" si="698">R1293*3751</f>
        <v>0</v>
      </c>
      <c r="T1293" s="1">
        <v>0</v>
      </c>
      <c r="U1293" s="1">
        <v>50000</v>
      </c>
      <c r="V1293" s="1">
        <v>0</v>
      </c>
      <c r="W1293" s="1">
        <v>0</v>
      </c>
      <c r="X1293" s="1">
        <v>0</v>
      </c>
      <c r="Y1293" s="1">
        <v>0</v>
      </c>
      <c r="Z1293" s="1">
        <v>0</v>
      </c>
      <c r="AA1293" s="1">
        <v>0</v>
      </c>
      <c r="AB1293" s="1">
        <v>0</v>
      </c>
      <c r="AC1293" s="1">
        <v>0</v>
      </c>
      <c r="AD1293" s="1">
        <v>0</v>
      </c>
    </row>
    <row r="1294" spans="1:30" s="20" customFormat="1" ht="36" customHeight="1" x14ac:dyDescent="0.25">
      <c r="A1294" s="2">
        <f t="shared" si="694"/>
        <v>1252</v>
      </c>
      <c r="B1294" s="6">
        <f t="shared" si="689"/>
        <v>1252</v>
      </c>
      <c r="C1294" s="19" t="s">
        <v>708</v>
      </c>
      <c r="D1294" s="4">
        <f t="shared" si="690"/>
        <v>2102985.6</v>
      </c>
      <c r="E1294" s="1">
        <f t="shared" si="691"/>
        <v>511588</v>
      </c>
      <c r="F1294" s="1">
        <f>804*308</f>
        <v>247632</v>
      </c>
      <c r="G1294" s="1">
        <v>0</v>
      </c>
      <c r="H1294" s="1">
        <f>390*308</f>
        <v>120120</v>
      </c>
      <c r="I1294" s="1">
        <v>0</v>
      </c>
      <c r="J1294" s="1">
        <f>467*308</f>
        <v>143836</v>
      </c>
      <c r="K1294" s="1">
        <v>0</v>
      </c>
      <c r="L1294" s="2">
        <v>0</v>
      </c>
      <c r="M1294" s="1">
        <v>0</v>
      </c>
      <c r="N1294" s="1">
        <v>0</v>
      </c>
      <c r="O1294" s="1">
        <v>0</v>
      </c>
      <c r="P1294" s="1">
        <v>0</v>
      </c>
      <c r="Q1294" s="1">
        <f t="shared" si="692"/>
        <v>0</v>
      </c>
      <c r="R1294" s="1">
        <v>397.6</v>
      </c>
      <c r="S1294" s="1">
        <f t="shared" si="693"/>
        <v>1491397.6</v>
      </c>
      <c r="T1294" s="1">
        <v>0</v>
      </c>
      <c r="U1294" s="1">
        <v>50000</v>
      </c>
      <c r="V1294" s="1">
        <v>0</v>
      </c>
      <c r="W1294" s="1">
        <v>50000</v>
      </c>
      <c r="X1294" s="1">
        <v>0</v>
      </c>
      <c r="Y1294" s="1">
        <v>0</v>
      </c>
      <c r="Z1294" s="1">
        <v>0</v>
      </c>
      <c r="AA1294" s="1">
        <v>0</v>
      </c>
      <c r="AB1294" s="1">
        <v>0</v>
      </c>
      <c r="AC1294" s="1">
        <v>0</v>
      </c>
      <c r="AD1294" s="1">
        <v>0</v>
      </c>
    </row>
    <row r="1295" spans="1:30" s="20" customFormat="1" ht="36" customHeight="1" x14ac:dyDescent="0.25">
      <c r="A1295" s="2">
        <f t="shared" si="694"/>
        <v>1253</v>
      </c>
      <c r="B1295" s="6">
        <f t="shared" si="689"/>
        <v>1253</v>
      </c>
      <c r="C1295" s="19" t="s">
        <v>64</v>
      </c>
      <c r="D1295" s="4">
        <f t="shared" si="690"/>
        <v>467356.4</v>
      </c>
      <c r="E1295" s="1">
        <f t="shared" si="691"/>
        <v>417356.4</v>
      </c>
      <c r="F1295" s="1">
        <f>804*519.1</f>
        <v>417356.4</v>
      </c>
      <c r="G1295" s="1">
        <v>0</v>
      </c>
      <c r="H1295" s="1">
        <v>0</v>
      </c>
      <c r="I1295" s="1">
        <v>0</v>
      </c>
      <c r="J1295" s="1">
        <v>0</v>
      </c>
      <c r="K1295" s="1">
        <v>0</v>
      </c>
      <c r="L1295" s="2">
        <v>0</v>
      </c>
      <c r="M1295" s="1">
        <v>0</v>
      </c>
      <c r="N1295" s="1">
        <v>0</v>
      </c>
      <c r="O1295" s="1">
        <v>0</v>
      </c>
      <c r="P1295" s="1">
        <v>0</v>
      </c>
      <c r="Q1295" s="1">
        <f t="shared" si="692"/>
        <v>0</v>
      </c>
      <c r="R1295" s="1">
        <v>0</v>
      </c>
      <c r="S1295" s="1">
        <f t="shared" si="693"/>
        <v>0</v>
      </c>
      <c r="T1295" s="1">
        <v>0</v>
      </c>
      <c r="U1295" s="1">
        <v>50000</v>
      </c>
      <c r="V1295" s="1">
        <v>0</v>
      </c>
      <c r="W1295" s="1">
        <v>0</v>
      </c>
      <c r="X1295" s="1">
        <v>0</v>
      </c>
      <c r="Y1295" s="1">
        <v>0</v>
      </c>
      <c r="Z1295" s="1">
        <v>0</v>
      </c>
      <c r="AA1295" s="1">
        <v>0</v>
      </c>
      <c r="AB1295" s="1">
        <v>0</v>
      </c>
      <c r="AC1295" s="1">
        <v>0</v>
      </c>
      <c r="AD1295" s="1">
        <v>0</v>
      </c>
    </row>
    <row r="1296" spans="1:30" s="20" customFormat="1" ht="54.95" customHeight="1" x14ac:dyDescent="0.25">
      <c r="A1296" s="3"/>
      <c r="B1296" s="47" t="s">
        <v>1994</v>
      </c>
      <c r="C1296" s="48"/>
      <c r="D1296" s="4">
        <f>SUM(D1297:D1322)</f>
        <v>211700000</v>
      </c>
      <c r="E1296" s="4">
        <f t="shared" ref="E1296:AD1296" si="699">SUM(E1297:E1322)</f>
        <v>0</v>
      </c>
      <c r="F1296" s="4">
        <f t="shared" si="699"/>
        <v>0</v>
      </c>
      <c r="G1296" s="4">
        <f t="shared" si="699"/>
        <v>0</v>
      </c>
      <c r="H1296" s="4">
        <f t="shared" si="699"/>
        <v>0</v>
      </c>
      <c r="I1296" s="4">
        <f t="shared" si="699"/>
        <v>0</v>
      </c>
      <c r="J1296" s="4">
        <f t="shared" si="699"/>
        <v>0</v>
      </c>
      <c r="K1296" s="4">
        <f t="shared" si="699"/>
        <v>0</v>
      </c>
      <c r="L1296" s="17">
        <f t="shared" si="699"/>
        <v>59</v>
      </c>
      <c r="M1296" s="4">
        <f t="shared" si="699"/>
        <v>206500000</v>
      </c>
      <c r="N1296" s="4">
        <f t="shared" si="699"/>
        <v>0</v>
      </c>
      <c r="O1296" s="4">
        <f t="shared" si="699"/>
        <v>0</v>
      </c>
      <c r="P1296" s="4">
        <f t="shared" si="699"/>
        <v>0</v>
      </c>
      <c r="Q1296" s="4">
        <f t="shared" si="699"/>
        <v>0</v>
      </c>
      <c r="R1296" s="4">
        <f t="shared" si="699"/>
        <v>0</v>
      </c>
      <c r="S1296" s="4">
        <f t="shared" si="699"/>
        <v>0</v>
      </c>
      <c r="T1296" s="4">
        <f t="shared" si="699"/>
        <v>0</v>
      </c>
      <c r="U1296" s="4">
        <f t="shared" si="699"/>
        <v>5200000</v>
      </c>
      <c r="V1296" s="4">
        <f t="shared" si="699"/>
        <v>0</v>
      </c>
      <c r="W1296" s="4">
        <f t="shared" si="699"/>
        <v>0</v>
      </c>
      <c r="X1296" s="4">
        <f t="shared" si="699"/>
        <v>0</v>
      </c>
      <c r="Y1296" s="4">
        <f t="shared" si="699"/>
        <v>0</v>
      </c>
      <c r="Z1296" s="4">
        <f t="shared" si="699"/>
        <v>0</v>
      </c>
      <c r="AA1296" s="4">
        <f t="shared" si="699"/>
        <v>0</v>
      </c>
      <c r="AB1296" s="4">
        <f t="shared" si="699"/>
        <v>0</v>
      </c>
      <c r="AC1296" s="4">
        <f t="shared" si="699"/>
        <v>0</v>
      </c>
      <c r="AD1296" s="4">
        <f t="shared" si="699"/>
        <v>0</v>
      </c>
    </row>
    <row r="1297" spans="1:30" s="20" customFormat="1" ht="35.25" customHeight="1" x14ac:dyDescent="0.25">
      <c r="A1297" s="2">
        <f t="shared" ref="A1297:A1322" si="700">ROW()-ROW($A$11)-32</f>
        <v>1254</v>
      </c>
      <c r="B1297" s="6">
        <f t="shared" ref="B1297:B1311" si="701">A1297</f>
        <v>1254</v>
      </c>
      <c r="C1297" s="19" t="s">
        <v>1856</v>
      </c>
      <c r="D1297" s="8">
        <f t="shared" ref="D1297:D1322" si="702">E1297+M1297+O1297+Q1297+S1297+T1297+U1297+V1297+W1297+X1297+Z1297+AA1297+AB1297+AC1297+AD1297</f>
        <v>7200000</v>
      </c>
      <c r="E1297" s="1">
        <f t="shared" ref="E1297:E1311" si="703">SUM(F1297:K1297)</f>
        <v>0</v>
      </c>
      <c r="F1297" s="1">
        <v>0</v>
      </c>
      <c r="G1297" s="1">
        <v>0</v>
      </c>
      <c r="H1297" s="1">
        <v>0</v>
      </c>
      <c r="I1297" s="1">
        <v>0</v>
      </c>
      <c r="J1297" s="1">
        <v>0</v>
      </c>
      <c r="K1297" s="1">
        <v>0</v>
      </c>
      <c r="L1297" s="2">
        <v>2</v>
      </c>
      <c r="M1297" s="1">
        <f t="shared" ref="M1297:M1322" si="704">L1297*3500000</f>
        <v>7000000</v>
      </c>
      <c r="N1297" s="1">
        <v>0</v>
      </c>
      <c r="O1297" s="1">
        <v>0</v>
      </c>
      <c r="P1297" s="1">
        <v>0</v>
      </c>
      <c r="Q1297" s="1">
        <f t="shared" ref="Q1297:Q1311" si="705">1400*P1297</f>
        <v>0</v>
      </c>
      <c r="R1297" s="1">
        <v>0</v>
      </c>
      <c r="S1297" s="1">
        <f t="shared" ref="S1297:S1311" si="706">R1297*3751</f>
        <v>0</v>
      </c>
      <c r="T1297" s="1">
        <v>0</v>
      </c>
      <c r="U1297" s="1">
        <v>200000</v>
      </c>
      <c r="V1297" s="1">
        <v>0</v>
      </c>
      <c r="W1297" s="1">
        <v>0</v>
      </c>
      <c r="X1297" s="1">
        <v>0</v>
      </c>
      <c r="Y1297" s="1">
        <v>0</v>
      </c>
      <c r="Z1297" s="1">
        <v>0</v>
      </c>
      <c r="AA1297" s="1">
        <v>0</v>
      </c>
      <c r="AB1297" s="1">
        <v>0</v>
      </c>
      <c r="AC1297" s="1">
        <v>0</v>
      </c>
      <c r="AD1297" s="1">
        <v>0</v>
      </c>
    </row>
    <row r="1298" spans="1:30" s="20" customFormat="1" ht="35.25" customHeight="1" x14ac:dyDescent="0.25">
      <c r="A1298" s="2">
        <f t="shared" si="700"/>
        <v>1255</v>
      </c>
      <c r="B1298" s="6">
        <f t="shared" si="701"/>
        <v>1255</v>
      </c>
      <c r="C1298" s="19" t="s">
        <v>1857</v>
      </c>
      <c r="D1298" s="8">
        <f t="shared" si="702"/>
        <v>7200000</v>
      </c>
      <c r="E1298" s="1">
        <f t="shared" si="703"/>
        <v>0</v>
      </c>
      <c r="F1298" s="1">
        <v>0</v>
      </c>
      <c r="G1298" s="1">
        <v>0</v>
      </c>
      <c r="H1298" s="1">
        <v>0</v>
      </c>
      <c r="I1298" s="1">
        <v>0</v>
      </c>
      <c r="J1298" s="1">
        <v>0</v>
      </c>
      <c r="K1298" s="1">
        <v>0</v>
      </c>
      <c r="L1298" s="2">
        <v>2</v>
      </c>
      <c r="M1298" s="1">
        <f t="shared" si="704"/>
        <v>7000000</v>
      </c>
      <c r="N1298" s="1">
        <v>0</v>
      </c>
      <c r="O1298" s="1">
        <v>0</v>
      </c>
      <c r="P1298" s="1">
        <v>0</v>
      </c>
      <c r="Q1298" s="1">
        <f t="shared" si="705"/>
        <v>0</v>
      </c>
      <c r="R1298" s="1">
        <v>0</v>
      </c>
      <c r="S1298" s="1">
        <f t="shared" si="706"/>
        <v>0</v>
      </c>
      <c r="T1298" s="1">
        <v>0</v>
      </c>
      <c r="U1298" s="1">
        <v>200000</v>
      </c>
      <c r="V1298" s="1">
        <v>0</v>
      </c>
      <c r="W1298" s="1">
        <v>0</v>
      </c>
      <c r="X1298" s="1">
        <v>0</v>
      </c>
      <c r="Y1298" s="1">
        <v>0</v>
      </c>
      <c r="Z1298" s="1">
        <v>0</v>
      </c>
      <c r="AA1298" s="1">
        <v>0</v>
      </c>
      <c r="AB1298" s="1">
        <v>0</v>
      </c>
      <c r="AC1298" s="1">
        <v>0</v>
      </c>
      <c r="AD1298" s="1">
        <v>0</v>
      </c>
    </row>
    <row r="1299" spans="1:30" s="20" customFormat="1" ht="35.25" customHeight="1" x14ac:dyDescent="0.25">
      <c r="A1299" s="2">
        <f t="shared" si="700"/>
        <v>1256</v>
      </c>
      <c r="B1299" s="6">
        <f t="shared" si="701"/>
        <v>1256</v>
      </c>
      <c r="C1299" s="19" t="s">
        <v>1858</v>
      </c>
      <c r="D1299" s="8">
        <f t="shared" si="702"/>
        <v>7200000</v>
      </c>
      <c r="E1299" s="1">
        <f t="shared" si="703"/>
        <v>0</v>
      </c>
      <c r="F1299" s="1">
        <v>0</v>
      </c>
      <c r="G1299" s="1">
        <v>0</v>
      </c>
      <c r="H1299" s="1">
        <v>0</v>
      </c>
      <c r="I1299" s="1">
        <v>0</v>
      </c>
      <c r="J1299" s="1">
        <v>0</v>
      </c>
      <c r="K1299" s="1">
        <v>0</v>
      </c>
      <c r="L1299" s="2">
        <v>2</v>
      </c>
      <c r="M1299" s="1">
        <f t="shared" si="704"/>
        <v>7000000</v>
      </c>
      <c r="N1299" s="1">
        <v>0</v>
      </c>
      <c r="O1299" s="1">
        <v>0</v>
      </c>
      <c r="P1299" s="1">
        <v>0</v>
      </c>
      <c r="Q1299" s="1">
        <f t="shared" si="705"/>
        <v>0</v>
      </c>
      <c r="R1299" s="1">
        <v>0</v>
      </c>
      <c r="S1299" s="1">
        <f t="shared" si="706"/>
        <v>0</v>
      </c>
      <c r="T1299" s="1">
        <v>0</v>
      </c>
      <c r="U1299" s="1">
        <v>200000</v>
      </c>
      <c r="V1299" s="1">
        <v>0</v>
      </c>
      <c r="W1299" s="1">
        <v>0</v>
      </c>
      <c r="X1299" s="1">
        <v>0</v>
      </c>
      <c r="Y1299" s="1">
        <v>0</v>
      </c>
      <c r="Z1299" s="1">
        <v>0</v>
      </c>
      <c r="AA1299" s="1">
        <v>0</v>
      </c>
      <c r="AB1299" s="1">
        <v>0</v>
      </c>
      <c r="AC1299" s="1">
        <v>0</v>
      </c>
      <c r="AD1299" s="1">
        <v>0</v>
      </c>
    </row>
    <row r="1300" spans="1:30" s="20" customFormat="1" ht="35.25" customHeight="1" x14ac:dyDescent="0.25">
      <c r="A1300" s="2">
        <f t="shared" si="700"/>
        <v>1257</v>
      </c>
      <c r="B1300" s="6">
        <f t="shared" si="701"/>
        <v>1257</v>
      </c>
      <c r="C1300" s="19" t="s">
        <v>1859</v>
      </c>
      <c r="D1300" s="8">
        <f t="shared" si="702"/>
        <v>7200000</v>
      </c>
      <c r="E1300" s="1">
        <f t="shared" si="703"/>
        <v>0</v>
      </c>
      <c r="F1300" s="1">
        <v>0</v>
      </c>
      <c r="G1300" s="1">
        <v>0</v>
      </c>
      <c r="H1300" s="1">
        <v>0</v>
      </c>
      <c r="I1300" s="1">
        <v>0</v>
      </c>
      <c r="J1300" s="1">
        <v>0</v>
      </c>
      <c r="K1300" s="1">
        <v>0</v>
      </c>
      <c r="L1300" s="2">
        <v>2</v>
      </c>
      <c r="M1300" s="1">
        <f t="shared" si="704"/>
        <v>7000000</v>
      </c>
      <c r="N1300" s="1">
        <v>0</v>
      </c>
      <c r="O1300" s="1">
        <v>0</v>
      </c>
      <c r="P1300" s="1">
        <v>0</v>
      </c>
      <c r="Q1300" s="1">
        <f t="shared" si="705"/>
        <v>0</v>
      </c>
      <c r="R1300" s="1">
        <v>0</v>
      </c>
      <c r="S1300" s="1">
        <f t="shared" si="706"/>
        <v>0</v>
      </c>
      <c r="T1300" s="1">
        <v>0</v>
      </c>
      <c r="U1300" s="1">
        <v>200000</v>
      </c>
      <c r="V1300" s="1">
        <v>0</v>
      </c>
      <c r="W1300" s="1">
        <v>0</v>
      </c>
      <c r="X1300" s="1">
        <v>0</v>
      </c>
      <c r="Y1300" s="1">
        <v>0</v>
      </c>
      <c r="Z1300" s="1">
        <v>0</v>
      </c>
      <c r="AA1300" s="1">
        <v>0</v>
      </c>
      <c r="AB1300" s="1">
        <v>0</v>
      </c>
      <c r="AC1300" s="1">
        <v>0</v>
      </c>
      <c r="AD1300" s="1">
        <v>0</v>
      </c>
    </row>
    <row r="1301" spans="1:30" s="20" customFormat="1" ht="35.25" customHeight="1" x14ac:dyDescent="0.25">
      <c r="A1301" s="2">
        <f t="shared" si="700"/>
        <v>1258</v>
      </c>
      <c r="B1301" s="6">
        <f t="shared" si="701"/>
        <v>1258</v>
      </c>
      <c r="C1301" s="19" t="s">
        <v>1845</v>
      </c>
      <c r="D1301" s="8">
        <f t="shared" si="702"/>
        <v>21200000</v>
      </c>
      <c r="E1301" s="1">
        <f t="shared" si="703"/>
        <v>0</v>
      </c>
      <c r="F1301" s="1">
        <v>0</v>
      </c>
      <c r="G1301" s="1">
        <v>0</v>
      </c>
      <c r="H1301" s="1">
        <v>0</v>
      </c>
      <c r="I1301" s="1">
        <v>0</v>
      </c>
      <c r="J1301" s="1">
        <v>0</v>
      </c>
      <c r="K1301" s="1">
        <v>0</v>
      </c>
      <c r="L1301" s="2">
        <v>6</v>
      </c>
      <c r="M1301" s="1">
        <f t="shared" si="704"/>
        <v>21000000</v>
      </c>
      <c r="N1301" s="1">
        <v>0</v>
      </c>
      <c r="O1301" s="1">
        <v>0</v>
      </c>
      <c r="P1301" s="1">
        <v>0</v>
      </c>
      <c r="Q1301" s="1">
        <f t="shared" si="705"/>
        <v>0</v>
      </c>
      <c r="R1301" s="1">
        <v>0</v>
      </c>
      <c r="S1301" s="1">
        <f t="shared" si="706"/>
        <v>0</v>
      </c>
      <c r="T1301" s="1">
        <v>0</v>
      </c>
      <c r="U1301" s="1">
        <v>200000</v>
      </c>
      <c r="V1301" s="1">
        <v>0</v>
      </c>
      <c r="W1301" s="1">
        <v>0</v>
      </c>
      <c r="X1301" s="1">
        <v>0</v>
      </c>
      <c r="Y1301" s="1">
        <v>0</v>
      </c>
      <c r="Z1301" s="1">
        <v>0</v>
      </c>
      <c r="AA1301" s="1">
        <v>0</v>
      </c>
      <c r="AB1301" s="1">
        <v>0</v>
      </c>
      <c r="AC1301" s="1">
        <v>0</v>
      </c>
      <c r="AD1301" s="1">
        <v>0</v>
      </c>
    </row>
    <row r="1302" spans="1:30" s="20" customFormat="1" ht="35.25" customHeight="1" x14ac:dyDescent="0.25">
      <c r="A1302" s="2">
        <f t="shared" si="700"/>
        <v>1259</v>
      </c>
      <c r="B1302" s="6">
        <f t="shared" si="701"/>
        <v>1259</v>
      </c>
      <c r="C1302" s="19" t="s">
        <v>1846</v>
      </c>
      <c r="D1302" s="8">
        <f t="shared" si="702"/>
        <v>7200000</v>
      </c>
      <c r="E1302" s="1">
        <f t="shared" si="703"/>
        <v>0</v>
      </c>
      <c r="F1302" s="1">
        <v>0</v>
      </c>
      <c r="G1302" s="1">
        <v>0</v>
      </c>
      <c r="H1302" s="1">
        <v>0</v>
      </c>
      <c r="I1302" s="1">
        <v>0</v>
      </c>
      <c r="J1302" s="1">
        <v>0</v>
      </c>
      <c r="K1302" s="1">
        <v>0</v>
      </c>
      <c r="L1302" s="2">
        <v>2</v>
      </c>
      <c r="M1302" s="1">
        <f t="shared" si="704"/>
        <v>7000000</v>
      </c>
      <c r="N1302" s="1">
        <v>0</v>
      </c>
      <c r="O1302" s="1">
        <v>0</v>
      </c>
      <c r="P1302" s="1">
        <v>0</v>
      </c>
      <c r="Q1302" s="1">
        <f t="shared" si="705"/>
        <v>0</v>
      </c>
      <c r="R1302" s="1">
        <v>0</v>
      </c>
      <c r="S1302" s="1">
        <f t="shared" si="706"/>
        <v>0</v>
      </c>
      <c r="T1302" s="1">
        <v>0</v>
      </c>
      <c r="U1302" s="1">
        <v>200000</v>
      </c>
      <c r="V1302" s="1">
        <v>0</v>
      </c>
      <c r="W1302" s="1">
        <v>0</v>
      </c>
      <c r="X1302" s="1">
        <v>0</v>
      </c>
      <c r="Y1302" s="1">
        <v>0</v>
      </c>
      <c r="Z1302" s="1">
        <v>0</v>
      </c>
      <c r="AA1302" s="1">
        <v>0</v>
      </c>
      <c r="AB1302" s="1">
        <v>0</v>
      </c>
      <c r="AC1302" s="1">
        <v>0</v>
      </c>
      <c r="AD1302" s="1">
        <v>0</v>
      </c>
    </row>
    <row r="1303" spans="1:30" s="20" customFormat="1" ht="35.25" customHeight="1" x14ac:dyDescent="0.25">
      <c r="A1303" s="2">
        <f t="shared" si="700"/>
        <v>1260</v>
      </c>
      <c r="B1303" s="2">
        <f t="shared" si="701"/>
        <v>1260</v>
      </c>
      <c r="C1303" s="19" t="s">
        <v>1847</v>
      </c>
      <c r="D1303" s="38">
        <f t="shared" si="702"/>
        <v>3700000</v>
      </c>
      <c r="E1303" s="1">
        <f t="shared" si="703"/>
        <v>0</v>
      </c>
      <c r="F1303" s="1">
        <v>0</v>
      </c>
      <c r="G1303" s="1">
        <v>0</v>
      </c>
      <c r="H1303" s="1">
        <v>0</v>
      </c>
      <c r="I1303" s="1">
        <v>0</v>
      </c>
      <c r="J1303" s="1">
        <v>0</v>
      </c>
      <c r="K1303" s="1">
        <v>0</v>
      </c>
      <c r="L1303" s="2">
        <v>1</v>
      </c>
      <c r="M1303" s="1">
        <f t="shared" si="704"/>
        <v>3500000</v>
      </c>
      <c r="N1303" s="1">
        <v>0</v>
      </c>
      <c r="O1303" s="1">
        <v>0</v>
      </c>
      <c r="P1303" s="1">
        <v>0</v>
      </c>
      <c r="Q1303" s="1">
        <f t="shared" si="705"/>
        <v>0</v>
      </c>
      <c r="R1303" s="1">
        <v>0</v>
      </c>
      <c r="S1303" s="1">
        <f t="shared" si="706"/>
        <v>0</v>
      </c>
      <c r="T1303" s="1">
        <v>0</v>
      </c>
      <c r="U1303" s="1">
        <v>200000</v>
      </c>
      <c r="V1303" s="1">
        <v>0</v>
      </c>
      <c r="W1303" s="1">
        <v>0</v>
      </c>
      <c r="X1303" s="1">
        <v>0</v>
      </c>
      <c r="Y1303" s="1">
        <v>0</v>
      </c>
      <c r="Z1303" s="1">
        <v>0</v>
      </c>
      <c r="AA1303" s="1">
        <v>0</v>
      </c>
      <c r="AB1303" s="1">
        <v>0</v>
      </c>
      <c r="AC1303" s="1">
        <v>0</v>
      </c>
      <c r="AD1303" s="1">
        <v>0</v>
      </c>
    </row>
    <row r="1304" spans="1:30" s="20" customFormat="1" ht="35.25" customHeight="1" x14ac:dyDescent="0.25">
      <c r="A1304" s="2">
        <f t="shared" si="700"/>
        <v>1261</v>
      </c>
      <c r="B1304" s="2">
        <f t="shared" si="701"/>
        <v>1261</v>
      </c>
      <c r="C1304" s="19" t="s">
        <v>1848</v>
      </c>
      <c r="D1304" s="38">
        <f t="shared" si="702"/>
        <v>14200000</v>
      </c>
      <c r="E1304" s="1">
        <f t="shared" si="703"/>
        <v>0</v>
      </c>
      <c r="F1304" s="1">
        <v>0</v>
      </c>
      <c r="G1304" s="1">
        <v>0</v>
      </c>
      <c r="H1304" s="1">
        <v>0</v>
      </c>
      <c r="I1304" s="1">
        <v>0</v>
      </c>
      <c r="J1304" s="1">
        <v>0</v>
      </c>
      <c r="K1304" s="1">
        <v>0</v>
      </c>
      <c r="L1304" s="2">
        <v>4</v>
      </c>
      <c r="M1304" s="1">
        <f t="shared" si="704"/>
        <v>14000000</v>
      </c>
      <c r="N1304" s="1">
        <v>0</v>
      </c>
      <c r="O1304" s="1">
        <v>0</v>
      </c>
      <c r="P1304" s="1">
        <v>0</v>
      </c>
      <c r="Q1304" s="1">
        <f t="shared" si="705"/>
        <v>0</v>
      </c>
      <c r="R1304" s="1">
        <v>0</v>
      </c>
      <c r="S1304" s="1">
        <f t="shared" si="706"/>
        <v>0</v>
      </c>
      <c r="T1304" s="1">
        <v>0</v>
      </c>
      <c r="U1304" s="1">
        <v>200000</v>
      </c>
      <c r="V1304" s="1">
        <v>0</v>
      </c>
      <c r="W1304" s="1">
        <v>0</v>
      </c>
      <c r="X1304" s="1">
        <v>0</v>
      </c>
      <c r="Y1304" s="1">
        <v>0</v>
      </c>
      <c r="Z1304" s="1">
        <v>0</v>
      </c>
      <c r="AA1304" s="1">
        <v>0</v>
      </c>
      <c r="AB1304" s="1">
        <v>0</v>
      </c>
      <c r="AC1304" s="1">
        <v>0</v>
      </c>
      <c r="AD1304" s="1">
        <v>0</v>
      </c>
    </row>
    <row r="1305" spans="1:30" s="20" customFormat="1" ht="35.25" customHeight="1" x14ac:dyDescent="0.25">
      <c r="A1305" s="2">
        <f t="shared" si="700"/>
        <v>1262</v>
      </c>
      <c r="B1305" s="6">
        <f t="shared" si="701"/>
        <v>1262</v>
      </c>
      <c r="C1305" s="19" t="s">
        <v>1849</v>
      </c>
      <c r="D1305" s="8">
        <f t="shared" si="702"/>
        <v>14200000</v>
      </c>
      <c r="E1305" s="1">
        <f t="shared" si="703"/>
        <v>0</v>
      </c>
      <c r="F1305" s="1">
        <v>0</v>
      </c>
      <c r="G1305" s="1">
        <v>0</v>
      </c>
      <c r="H1305" s="1">
        <v>0</v>
      </c>
      <c r="I1305" s="1">
        <v>0</v>
      </c>
      <c r="J1305" s="1">
        <v>0</v>
      </c>
      <c r="K1305" s="1">
        <v>0</v>
      </c>
      <c r="L1305" s="2">
        <v>4</v>
      </c>
      <c r="M1305" s="1">
        <f t="shared" si="704"/>
        <v>14000000</v>
      </c>
      <c r="N1305" s="1">
        <v>0</v>
      </c>
      <c r="O1305" s="1">
        <v>0</v>
      </c>
      <c r="P1305" s="1">
        <v>0</v>
      </c>
      <c r="Q1305" s="1">
        <f t="shared" si="705"/>
        <v>0</v>
      </c>
      <c r="R1305" s="1">
        <v>0</v>
      </c>
      <c r="S1305" s="1">
        <f t="shared" si="706"/>
        <v>0</v>
      </c>
      <c r="T1305" s="1">
        <v>0</v>
      </c>
      <c r="U1305" s="1">
        <v>200000</v>
      </c>
      <c r="V1305" s="1">
        <v>0</v>
      </c>
      <c r="W1305" s="1">
        <v>0</v>
      </c>
      <c r="X1305" s="1">
        <v>0</v>
      </c>
      <c r="Y1305" s="1">
        <v>0</v>
      </c>
      <c r="Z1305" s="1">
        <v>0</v>
      </c>
      <c r="AA1305" s="1">
        <v>0</v>
      </c>
      <c r="AB1305" s="1">
        <v>0</v>
      </c>
      <c r="AC1305" s="1">
        <v>0</v>
      </c>
      <c r="AD1305" s="1">
        <v>0</v>
      </c>
    </row>
    <row r="1306" spans="1:30" s="20" customFormat="1" ht="35.25" customHeight="1" x14ac:dyDescent="0.25">
      <c r="A1306" s="2">
        <f t="shared" si="700"/>
        <v>1263</v>
      </c>
      <c r="B1306" s="6">
        <f t="shared" si="701"/>
        <v>1263</v>
      </c>
      <c r="C1306" s="19" t="s">
        <v>1850</v>
      </c>
      <c r="D1306" s="8">
        <f t="shared" si="702"/>
        <v>7200000</v>
      </c>
      <c r="E1306" s="1">
        <f t="shared" si="703"/>
        <v>0</v>
      </c>
      <c r="F1306" s="1">
        <v>0</v>
      </c>
      <c r="G1306" s="1">
        <v>0</v>
      </c>
      <c r="H1306" s="1">
        <v>0</v>
      </c>
      <c r="I1306" s="1">
        <v>0</v>
      </c>
      <c r="J1306" s="1">
        <v>0</v>
      </c>
      <c r="K1306" s="1">
        <v>0</v>
      </c>
      <c r="L1306" s="2">
        <v>2</v>
      </c>
      <c r="M1306" s="1">
        <f t="shared" si="704"/>
        <v>7000000</v>
      </c>
      <c r="N1306" s="1">
        <v>0</v>
      </c>
      <c r="O1306" s="1">
        <v>0</v>
      </c>
      <c r="P1306" s="1">
        <v>0</v>
      </c>
      <c r="Q1306" s="1">
        <f t="shared" si="705"/>
        <v>0</v>
      </c>
      <c r="R1306" s="1">
        <v>0</v>
      </c>
      <c r="S1306" s="1">
        <f t="shared" si="706"/>
        <v>0</v>
      </c>
      <c r="T1306" s="1">
        <v>0</v>
      </c>
      <c r="U1306" s="1">
        <v>200000</v>
      </c>
      <c r="V1306" s="1">
        <v>0</v>
      </c>
      <c r="W1306" s="1">
        <v>0</v>
      </c>
      <c r="X1306" s="1">
        <v>0</v>
      </c>
      <c r="Y1306" s="1">
        <v>0</v>
      </c>
      <c r="Z1306" s="1">
        <v>0</v>
      </c>
      <c r="AA1306" s="1">
        <v>0</v>
      </c>
      <c r="AB1306" s="1">
        <v>0</v>
      </c>
      <c r="AC1306" s="1">
        <v>0</v>
      </c>
      <c r="AD1306" s="1">
        <v>0</v>
      </c>
    </row>
    <row r="1307" spans="1:30" s="20" customFormat="1" ht="35.25" customHeight="1" x14ac:dyDescent="0.25">
      <c r="A1307" s="2">
        <f t="shared" si="700"/>
        <v>1264</v>
      </c>
      <c r="B1307" s="6">
        <f t="shared" si="701"/>
        <v>1264</v>
      </c>
      <c r="C1307" s="19" t="s">
        <v>1851</v>
      </c>
      <c r="D1307" s="8">
        <f t="shared" si="702"/>
        <v>3700000</v>
      </c>
      <c r="E1307" s="1">
        <f t="shared" si="703"/>
        <v>0</v>
      </c>
      <c r="F1307" s="1">
        <v>0</v>
      </c>
      <c r="G1307" s="1">
        <v>0</v>
      </c>
      <c r="H1307" s="1">
        <v>0</v>
      </c>
      <c r="I1307" s="1">
        <v>0</v>
      </c>
      <c r="J1307" s="1">
        <v>0</v>
      </c>
      <c r="K1307" s="1">
        <v>0</v>
      </c>
      <c r="L1307" s="2">
        <v>1</v>
      </c>
      <c r="M1307" s="1">
        <f t="shared" si="704"/>
        <v>3500000</v>
      </c>
      <c r="N1307" s="1">
        <v>0</v>
      </c>
      <c r="O1307" s="1">
        <v>0</v>
      </c>
      <c r="P1307" s="1">
        <v>0</v>
      </c>
      <c r="Q1307" s="1">
        <f t="shared" si="705"/>
        <v>0</v>
      </c>
      <c r="R1307" s="1">
        <v>0</v>
      </c>
      <c r="S1307" s="1">
        <f t="shared" si="706"/>
        <v>0</v>
      </c>
      <c r="T1307" s="1">
        <v>0</v>
      </c>
      <c r="U1307" s="1">
        <v>200000</v>
      </c>
      <c r="V1307" s="1">
        <v>0</v>
      </c>
      <c r="W1307" s="1">
        <v>0</v>
      </c>
      <c r="X1307" s="1">
        <v>0</v>
      </c>
      <c r="Y1307" s="1">
        <v>0</v>
      </c>
      <c r="Z1307" s="1">
        <v>0</v>
      </c>
      <c r="AA1307" s="1">
        <v>0</v>
      </c>
      <c r="AB1307" s="1">
        <v>0</v>
      </c>
      <c r="AC1307" s="1">
        <v>0</v>
      </c>
      <c r="AD1307" s="1">
        <v>0</v>
      </c>
    </row>
    <row r="1308" spans="1:30" s="20" customFormat="1" ht="35.25" customHeight="1" x14ac:dyDescent="0.25">
      <c r="A1308" s="2">
        <f t="shared" si="700"/>
        <v>1265</v>
      </c>
      <c r="B1308" s="6">
        <f t="shared" si="701"/>
        <v>1265</v>
      </c>
      <c r="C1308" s="19" t="s">
        <v>1852</v>
      </c>
      <c r="D1308" s="8">
        <f t="shared" si="702"/>
        <v>7200000</v>
      </c>
      <c r="E1308" s="1">
        <f t="shared" si="703"/>
        <v>0</v>
      </c>
      <c r="F1308" s="1">
        <v>0</v>
      </c>
      <c r="G1308" s="1">
        <v>0</v>
      </c>
      <c r="H1308" s="1">
        <v>0</v>
      </c>
      <c r="I1308" s="1">
        <v>0</v>
      </c>
      <c r="J1308" s="1">
        <v>0</v>
      </c>
      <c r="K1308" s="1">
        <v>0</v>
      </c>
      <c r="L1308" s="2">
        <v>2</v>
      </c>
      <c r="M1308" s="1">
        <f t="shared" si="704"/>
        <v>7000000</v>
      </c>
      <c r="N1308" s="1">
        <v>0</v>
      </c>
      <c r="O1308" s="1">
        <v>0</v>
      </c>
      <c r="P1308" s="1">
        <v>0</v>
      </c>
      <c r="Q1308" s="1">
        <f t="shared" si="705"/>
        <v>0</v>
      </c>
      <c r="R1308" s="1">
        <v>0</v>
      </c>
      <c r="S1308" s="1">
        <f t="shared" si="706"/>
        <v>0</v>
      </c>
      <c r="T1308" s="1">
        <v>0</v>
      </c>
      <c r="U1308" s="1">
        <v>200000</v>
      </c>
      <c r="V1308" s="1">
        <v>0</v>
      </c>
      <c r="W1308" s="1">
        <v>0</v>
      </c>
      <c r="X1308" s="1">
        <v>0</v>
      </c>
      <c r="Y1308" s="1">
        <v>0</v>
      </c>
      <c r="Z1308" s="1">
        <v>0</v>
      </c>
      <c r="AA1308" s="1">
        <v>0</v>
      </c>
      <c r="AB1308" s="1">
        <v>0</v>
      </c>
      <c r="AC1308" s="1">
        <v>0</v>
      </c>
      <c r="AD1308" s="1">
        <v>0</v>
      </c>
    </row>
    <row r="1309" spans="1:30" s="20" customFormat="1" ht="35.25" customHeight="1" x14ac:dyDescent="0.25">
      <c r="A1309" s="2">
        <f t="shared" si="700"/>
        <v>1266</v>
      </c>
      <c r="B1309" s="6">
        <f t="shared" si="701"/>
        <v>1266</v>
      </c>
      <c r="C1309" s="19" t="s">
        <v>1853</v>
      </c>
      <c r="D1309" s="8">
        <f t="shared" si="702"/>
        <v>7200000</v>
      </c>
      <c r="E1309" s="1">
        <f t="shared" si="703"/>
        <v>0</v>
      </c>
      <c r="F1309" s="1">
        <v>0</v>
      </c>
      <c r="G1309" s="1">
        <v>0</v>
      </c>
      <c r="H1309" s="1">
        <v>0</v>
      </c>
      <c r="I1309" s="1">
        <v>0</v>
      </c>
      <c r="J1309" s="1">
        <v>0</v>
      </c>
      <c r="K1309" s="1">
        <v>0</v>
      </c>
      <c r="L1309" s="2">
        <v>2</v>
      </c>
      <c r="M1309" s="1">
        <f t="shared" si="704"/>
        <v>7000000</v>
      </c>
      <c r="N1309" s="1">
        <v>0</v>
      </c>
      <c r="O1309" s="1">
        <v>0</v>
      </c>
      <c r="P1309" s="1">
        <v>0</v>
      </c>
      <c r="Q1309" s="1">
        <f t="shared" si="705"/>
        <v>0</v>
      </c>
      <c r="R1309" s="1">
        <v>0</v>
      </c>
      <c r="S1309" s="1">
        <f t="shared" si="706"/>
        <v>0</v>
      </c>
      <c r="T1309" s="1">
        <v>0</v>
      </c>
      <c r="U1309" s="1">
        <v>200000</v>
      </c>
      <c r="V1309" s="1">
        <v>0</v>
      </c>
      <c r="W1309" s="1">
        <v>0</v>
      </c>
      <c r="X1309" s="1">
        <v>0</v>
      </c>
      <c r="Y1309" s="1">
        <v>0</v>
      </c>
      <c r="Z1309" s="1">
        <v>0</v>
      </c>
      <c r="AA1309" s="1">
        <v>0</v>
      </c>
      <c r="AB1309" s="1">
        <v>0</v>
      </c>
      <c r="AC1309" s="1">
        <v>0</v>
      </c>
      <c r="AD1309" s="1">
        <v>0</v>
      </c>
    </row>
    <row r="1310" spans="1:30" s="20" customFormat="1" ht="35.25" customHeight="1" x14ac:dyDescent="0.25">
      <c r="A1310" s="2">
        <f t="shared" si="700"/>
        <v>1267</v>
      </c>
      <c r="B1310" s="6">
        <f t="shared" si="701"/>
        <v>1267</v>
      </c>
      <c r="C1310" s="19" t="s">
        <v>1854</v>
      </c>
      <c r="D1310" s="8">
        <f t="shared" si="702"/>
        <v>7200000</v>
      </c>
      <c r="E1310" s="1">
        <f t="shared" si="703"/>
        <v>0</v>
      </c>
      <c r="F1310" s="1">
        <v>0</v>
      </c>
      <c r="G1310" s="1">
        <v>0</v>
      </c>
      <c r="H1310" s="1">
        <v>0</v>
      </c>
      <c r="I1310" s="1">
        <v>0</v>
      </c>
      <c r="J1310" s="1">
        <v>0</v>
      </c>
      <c r="K1310" s="1">
        <v>0</v>
      </c>
      <c r="L1310" s="2">
        <v>2</v>
      </c>
      <c r="M1310" s="1">
        <f t="shared" si="704"/>
        <v>7000000</v>
      </c>
      <c r="N1310" s="1">
        <v>0</v>
      </c>
      <c r="O1310" s="1">
        <v>0</v>
      </c>
      <c r="P1310" s="1">
        <v>0</v>
      </c>
      <c r="Q1310" s="1">
        <f t="shared" si="705"/>
        <v>0</v>
      </c>
      <c r="R1310" s="1">
        <v>0</v>
      </c>
      <c r="S1310" s="1">
        <f t="shared" si="706"/>
        <v>0</v>
      </c>
      <c r="T1310" s="1">
        <v>0</v>
      </c>
      <c r="U1310" s="1">
        <v>200000</v>
      </c>
      <c r="V1310" s="1">
        <v>0</v>
      </c>
      <c r="W1310" s="1">
        <v>0</v>
      </c>
      <c r="X1310" s="1">
        <v>0</v>
      </c>
      <c r="Y1310" s="1">
        <v>0</v>
      </c>
      <c r="Z1310" s="1">
        <v>0</v>
      </c>
      <c r="AA1310" s="1">
        <v>0</v>
      </c>
      <c r="AB1310" s="1">
        <v>0</v>
      </c>
      <c r="AC1310" s="1">
        <v>0</v>
      </c>
      <c r="AD1310" s="1">
        <v>0</v>
      </c>
    </row>
    <row r="1311" spans="1:30" s="20" customFormat="1" ht="35.25" customHeight="1" x14ac:dyDescent="0.25">
      <c r="A1311" s="2">
        <f t="shared" si="700"/>
        <v>1268</v>
      </c>
      <c r="B1311" s="6">
        <f t="shared" si="701"/>
        <v>1268</v>
      </c>
      <c r="C1311" s="19" t="s">
        <v>1855</v>
      </c>
      <c r="D1311" s="8">
        <f t="shared" si="702"/>
        <v>7200000</v>
      </c>
      <c r="E1311" s="1">
        <f t="shared" si="703"/>
        <v>0</v>
      </c>
      <c r="F1311" s="1">
        <v>0</v>
      </c>
      <c r="G1311" s="1">
        <v>0</v>
      </c>
      <c r="H1311" s="1">
        <v>0</v>
      </c>
      <c r="I1311" s="1">
        <v>0</v>
      </c>
      <c r="J1311" s="1">
        <v>0</v>
      </c>
      <c r="K1311" s="1">
        <v>0</v>
      </c>
      <c r="L1311" s="2">
        <v>2</v>
      </c>
      <c r="M1311" s="1">
        <f t="shared" si="704"/>
        <v>7000000</v>
      </c>
      <c r="N1311" s="1">
        <v>0</v>
      </c>
      <c r="O1311" s="1">
        <v>0</v>
      </c>
      <c r="P1311" s="1">
        <v>0</v>
      </c>
      <c r="Q1311" s="1">
        <f t="shared" si="705"/>
        <v>0</v>
      </c>
      <c r="R1311" s="1">
        <v>0</v>
      </c>
      <c r="S1311" s="1">
        <f t="shared" si="706"/>
        <v>0</v>
      </c>
      <c r="T1311" s="1">
        <v>0</v>
      </c>
      <c r="U1311" s="1">
        <v>200000</v>
      </c>
      <c r="V1311" s="1">
        <v>0</v>
      </c>
      <c r="W1311" s="1">
        <v>0</v>
      </c>
      <c r="X1311" s="1">
        <v>0</v>
      </c>
      <c r="Y1311" s="1">
        <v>0</v>
      </c>
      <c r="Z1311" s="1">
        <v>0</v>
      </c>
      <c r="AA1311" s="1">
        <v>0</v>
      </c>
      <c r="AB1311" s="1">
        <v>0</v>
      </c>
      <c r="AC1311" s="1">
        <v>0</v>
      </c>
      <c r="AD1311" s="1">
        <v>0</v>
      </c>
    </row>
    <row r="1312" spans="1:30" s="20" customFormat="1" ht="36" customHeight="1" x14ac:dyDescent="0.25">
      <c r="A1312" s="2">
        <f t="shared" si="700"/>
        <v>1269</v>
      </c>
      <c r="B1312" s="6">
        <f t="shared" ref="B1312" si="707">A1312</f>
        <v>1269</v>
      </c>
      <c r="C1312" s="19" t="s">
        <v>1896</v>
      </c>
      <c r="D1312" s="4">
        <f t="shared" si="702"/>
        <v>7200000</v>
      </c>
      <c r="E1312" s="1">
        <f t="shared" ref="E1312" si="708">SUM(F1312:K1312)</f>
        <v>0</v>
      </c>
      <c r="F1312" s="1">
        <v>0</v>
      </c>
      <c r="G1312" s="1">
        <v>0</v>
      </c>
      <c r="H1312" s="1">
        <v>0</v>
      </c>
      <c r="I1312" s="1">
        <v>0</v>
      </c>
      <c r="J1312" s="1">
        <v>0</v>
      </c>
      <c r="K1312" s="1">
        <v>0</v>
      </c>
      <c r="L1312" s="2">
        <v>2</v>
      </c>
      <c r="M1312" s="1">
        <f t="shared" si="704"/>
        <v>7000000</v>
      </c>
      <c r="N1312" s="1">
        <v>0</v>
      </c>
      <c r="O1312" s="1">
        <v>0</v>
      </c>
      <c r="P1312" s="1">
        <v>0</v>
      </c>
      <c r="Q1312" s="1">
        <f t="shared" ref="Q1312" si="709">P1312*1400</f>
        <v>0</v>
      </c>
      <c r="R1312" s="1">
        <v>0</v>
      </c>
      <c r="S1312" s="1">
        <f t="shared" ref="S1312" si="710">R1312*3751</f>
        <v>0</v>
      </c>
      <c r="T1312" s="1">
        <v>0</v>
      </c>
      <c r="U1312" s="1">
        <v>200000</v>
      </c>
      <c r="V1312" s="1">
        <v>0</v>
      </c>
      <c r="W1312" s="1">
        <v>0</v>
      </c>
      <c r="X1312" s="1">
        <v>0</v>
      </c>
      <c r="Y1312" s="1">
        <v>0</v>
      </c>
      <c r="Z1312" s="1">
        <v>0</v>
      </c>
      <c r="AA1312" s="1">
        <v>0</v>
      </c>
      <c r="AB1312" s="1">
        <v>0</v>
      </c>
      <c r="AC1312" s="1">
        <v>0</v>
      </c>
      <c r="AD1312" s="1">
        <v>0</v>
      </c>
    </row>
    <row r="1313" spans="1:30" s="20" customFormat="1" ht="35.25" customHeight="1" x14ac:dyDescent="0.25">
      <c r="A1313" s="2">
        <f t="shared" si="700"/>
        <v>1270</v>
      </c>
      <c r="B1313" s="6">
        <f>A1313</f>
        <v>1270</v>
      </c>
      <c r="C1313" s="19" t="s">
        <v>1844</v>
      </c>
      <c r="D1313" s="8">
        <f t="shared" si="702"/>
        <v>7200000</v>
      </c>
      <c r="E1313" s="1">
        <f>SUM(F1313:K1313)</f>
        <v>0</v>
      </c>
      <c r="F1313" s="1">
        <v>0</v>
      </c>
      <c r="G1313" s="1">
        <v>0</v>
      </c>
      <c r="H1313" s="1">
        <v>0</v>
      </c>
      <c r="I1313" s="1">
        <v>0</v>
      </c>
      <c r="J1313" s="1">
        <v>0</v>
      </c>
      <c r="K1313" s="1">
        <v>0</v>
      </c>
      <c r="L1313" s="2">
        <v>2</v>
      </c>
      <c r="M1313" s="1">
        <f t="shared" si="704"/>
        <v>7000000</v>
      </c>
      <c r="N1313" s="1">
        <v>0</v>
      </c>
      <c r="O1313" s="1">
        <v>0</v>
      </c>
      <c r="P1313" s="1">
        <v>0</v>
      </c>
      <c r="Q1313" s="1">
        <f>1400*P1313</f>
        <v>0</v>
      </c>
      <c r="R1313" s="1">
        <v>0</v>
      </c>
      <c r="S1313" s="1">
        <f>R1313*3751</f>
        <v>0</v>
      </c>
      <c r="T1313" s="1">
        <v>0</v>
      </c>
      <c r="U1313" s="1">
        <v>200000</v>
      </c>
      <c r="V1313" s="1">
        <v>0</v>
      </c>
      <c r="W1313" s="1">
        <v>0</v>
      </c>
      <c r="X1313" s="1">
        <v>0</v>
      </c>
      <c r="Y1313" s="1">
        <v>0</v>
      </c>
      <c r="Z1313" s="1">
        <v>0</v>
      </c>
      <c r="AA1313" s="1">
        <v>0</v>
      </c>
      <c r="AB1313" s="1">
        <v>0</v>
      </c>
      <c r="AC1313" s="1">
        <v>0</v>
      </c>
      <c r="AD1313" s="1">
        <v>0</v>
      </c>
    </row>
    <row r="1314" spans="1:30" s="20" customFormat="1" ht="35.25" customHeight="1" x14ac:dyDescent="0.25">
      <c r="A1314" s="2">
        <f t="shared" si="700"/>
        <v>1271</v>
      </c>
      <c r="B1314" s="6">
        <f>A1314</f>
        <v>1271</v>
      </c>
      <c r="C1314" s="19" t="s">
        <v>1863</v>
      </c>
      <c r="D1314" s="8">
        <f t="shared" si="702"/>
        <v>7200000</v>
      </c>
      <c r="E1314" s="1">
        <f>SUM(F1314:K1314)</f>
        <v>0</v>
      </c>
      <c r="F1314" s="1">
        <v>0</v>
      </c>
      <c r="G1314" s="1">
        <v>0</v>
      </c>
      <c r="H1314" s="1">
        <v>0</v>
      </c>
      <c r="I1314" s="1">
        <v>0</v>
      </c>
      <c r="J1314" s="1">
        <v>0</v>
      </c>
      <c r="K1314" s="1">
        <v>0</v>
      </c>
      <c r="L1314" s="2">
        <v>2</v>
      </c>
      <c r="M1314" s="1">
        <f t="shared" si="704"/>
        <v>7000000</v>
      </c>
      <c r="N1314" s="1">
        <v>0</v>
      </c>
      <c r="O1314" s="1">
        <v>0</v>
      </c>
      <c r="P1314" s="1">
        <v>0</v>
      </c>
      <c r="Q1314" s="1">
        <f>1400*P1314</f>
        <v>0</v>
      </c>
      <c r="R1314" s="1">
        <v>0</v>
      </c>
      <c r="S1314" s="1">
        <f>R1314*3751</f>
        <v>0</v>
      </c>
      <c r="T1314" s="1">
        <v>0</v>
      </c>
      <c r="U1314" s="1">
        <v>200000</v>
      </c>
      <c r="V1314" s="1">
        <v>0</v>
      </c>
      <c r="W1314" s="1">
        <v>0</v>
      </c>
      <c r="X1314" s="1">
        <v>0</v>
      </c>
      <c r="Y1314" s="1">
        <v>0</v>
      </c>
      <c r="Z1314" s="1">
        <v>0</v>
      </c>
      <c r="AA1314" s="1">
        <v>0</v>
      </c>
      <c r="AB1314" s="1">
        <v>0</v>
      </c>
      <c r="AC1314" s="1">
        <v>0</v>
      </c>
      <c r="AD1314" s="1">
        <v>0</v>
      </c>
    </row>
    <row r="1315" spans="1:30" s="20" customFormat="1" ht="35.25" customHeight="1" x14ac:dyDescent="0.25">
      <c r="A1315" s="2">
        <f t="shared" si="700"/>
        <v>1272</v>
      </c>
      <c r="B1315" s="6">
        <f>A1315</f>
        <v>1272</v>
      </c>
      <c r="C1315" s="19" t="s">
        <v>1860</v>
      </c>
      <c r="D1315" s="8">
        <f t="shared" si="702"/>
        <v>7200000</v>
      </c>
      <c r="E1315" s="1">
        <f>SUM(F1315:K1315)</f>
        <v>0</v>
      </c>
      <c r="F1315" s="1">
        <v>0</v>
      </c>
      <c r="G1315" s="1">
        <v>0</v>
      </c>
      <c r="H1315" s="1">
        <v>0</v>
      </c>
      <c r="I1315" s="1">
        <v>0</v>
      </c>
      <c r="J1315" s="1">
        <v>0</v>
      </c>
      <c r="K1315" s="1">
        <v>0</v>
      </c>
      <c r="L1315" s="2">
        <v>2</v>
      </c>
      <c r="M1315" s="1">
        <f t="shared" si="704"/>
        <v>7000000</v>
      </c>
      <c r="N1315" s="1">
        <v>0</v>
      </c>
      <c r="O1315" s="1">
        <v>0</v>
      </c>
      <c r="P1315" s="1">
        <v>0</v>
      </c>
      <c r="Q1315" s="1">
        <f>1400*P1315</f>
        <v>0</v>
      </c>
      <c r="R1315" s="1">
        <v>0</v>
      </c>
      <c r="S1315" s="1">
        <f>R1315*3751</f>
        <v>0</v>
      </c>
      <c r="T1315" s="1">
        <v>0</v>
      </c>
      <c r="U1315" s="1">
        <v>200000</v>
      </c>
      <c r="V1315" s="1">
        <v>0</v>
      </c>
      <c r="W1315" s="1">
        <v>0</v>
      </c>
      <c r="X1315" s="1">
        <v>0</v>
      </c>
      <c r="Y1315" s="1">
        <v>0</v>
      </c>
      <c r="Z1315" s="1">
        <v>0</v>
      </c>
      <c r="AA1315" s="1">
        <v>0</v>
      </c>
      <c r="AB1315" s="1">
        <v>0</v>
      </c>
      <c r="AC1315" s="1">
        <v>0</v>
      </c>
      <c r="AD1315" s="1">
        <v>0</v>
      </c>
    </row>
    <row r="1316" spans="1:30" s="20" customFormat="1" ht="36" customHeight="1" x14ac:dyDescent="0.25">
      <c r="A1316" s="2">
        <f t="shared" si="700"/>
        <v>1273</v>
      </c>
      <c r="B1316" s="6">
        <f>A1316</f>
        <v>1273</v>
      </c>
      <c r="C1316" s="19" t="s">
        <v>1890</v>
      </c>
      <c r="D1316" s="4">
        <f t="shared" si="702"/>
        <v>7200000</v>
      </c>
      <c r="E1316" s="1">
        <f>SUM(F1316:K1316)</f>
        <v>0</v>
      </c>
      <c r="F1316" s="1">
        <v>0</v>
      </c>
      <c r="G1316" s="1">
        <v>0</v>
      </c>
      <c r="H1316" s="1">
        <v>0</v>
      </c>
      <c r="I1316" s="1">
        <v>0</v>
      </c>
      <c r="J1316" s="1">
        <v>0</v>
      </c>
      <c r="K1316" s="1">
        <v>0</v>
      </c>
      <c r="L1316" s="2">
        <v>2</v>
      </c>
      <c r="M1316" s="1">
        <f t="shared" si="704"/>
        <v>7000000</v>
      </c>
      <c r="N1316" s="1">
        <v>0</v>
      </c>
      <c r="O1316" s="1">
        <v>0</v>
      </c>
      <c r="P1316" s="1">
        <v>0</v>
      </c>
      <c r="Q1316" s="1">
        <f>P1316*1400</f>
        <v>0</v>
      </c>
      <c r="R1316" s="1">
        <v>0</v>
      </c>
      <c r="S1316" s="1">
        <f>R1316*3751</f>
        <v>0</v>
      </c>
      <c r="T1316" s="1">
        <v>0</v>
      </c>
      <c r="U1316" s="1">
        <v>200000</v>
      </c>
      <c r="V1316" s="1">
        <v>0</v>
      </c>
      <c r="W1316" s="1">
        <v>0</v>
      </c>
      <c r="X1316" s="1">
        <v>0</v>
      </c>
      <c r="Y1316" s="1">
        <v>0</v>
      </c>
      <c r="Z1316" s="1">
        <v>0</v>
      </c>
      <c r="AA1316" s="1">
        <v>0</v>
      </c>
      <c r="AB1316" s="1">
        <v>0</v>
      </c>
      <c r="AC1316" s="1">
        <v>0</v>
      </c>
      <c r="AD1316" s="1">
        <v>0</v>
      </c>
    </row>
    <row r="1317" spans="1:30" s="20" customFormat="1" ht="36" customHeight="1" x14ac:dyDescent="0.25">
      <c r="A1317" s="2">
        <f t="shared" si="700"/>
        <v>1274</v>
      </c>
      <c r="B1317" s="6">
        <f t="shared" ref="B1317:B1320" si="711">A1317</f>
        <v>1274</v>
      </c>
      <c r="C1317" s="19" t="s">
        <v>1897</v>
      </c>
      <c r="D1317" s="4">
        <f t="shared" si="702"/>
        <v>14200000</v>
      </c>
      <c r="E1317" s="1">
        <f t="shared" ref="E1317:E1320" si="712">SUM(F1317:K1317)</f>
        <v>0</v>
      </c>
      <c r="F1317" s="1">
        <v>0</v>
      </c>
      <c r="G1317" s="1">
        <v>0</v>
      </c>
      <c r="H1317" s="1">
        <v>0</v>
      </c>
      <c r="I1317" s="1">
        <v>0</v>
      </c>
      <c r="J1317" s="1">
        <v>0</v>
      </c>
      <c r="K1317" s="1">
        <v>0</v>
      </c>
      <c r="L1317" s="2">
        <v>4</v>
      </c>
      <c r="M1317" s="1">
        <f t="shared" si="704"/>
        <v>14000000</v>
      </c>
      <c r="N1317" s="1">
        <v>0</v>
      </c>
      <c r="O1317" s="1">
        <v>0</v>
      </c>
      <c r="P1317" s="1">
        <v>0</v>
      </c>
      <c r="Q1317" s="1">
        <f t="shared" ref="Q1317:Q1320" si="713">P1317*1400</f>
        <v>0</v>
      </c>
      <c r="R1317" s="1">
        <v>0</v>
      </c>
      <c r="S1317" s="1">
        <f t="shared" ref="S1317:S1320" si="714">R1317*3751</f>
        <v>0</v>
      </c>
      <c r="T1317" s="1">
        <v>0</v>
      </c>
      <c r="U1317" s="1">
        <v>200000</v>
      </c>
      <c r="V1317" s="1">
        <v>0</v>
      </c>
      <c r="W1317" s="1">
        <v>0</v>
      </c>
      <c r="X1317" s="1">
        <v>0</v>
      </c>
      <c r="Y1317" s="1">
        <v>0</v>
      </c>
      <c r="Z1317" s="1">
        <v>0</v>
      </c>
      <c r="AA1317" s="1">
        <v>0</v>
      </c>
      <c r="AB1317" s="1">
        <v>0</v>
      </c>
      <c r="AC1317" s="1">
        <v>0</v>
      </c>
      <c r="AD1317" s="1">
        <v>0</v>
      </c>
    </row>
    <row r="1318" spans="1:30" s="20" customFormat="1" ht="35.25" customHeight="1" x14ac:dyDescent="0.25">
      <c r="A1318" s="2">
        <f t="shared" si="700"/>
        <v>1275</v>
      </c>
      <c r="B1318" s="6">
        <f>A1318</f>
        <v>1275</v>
      </c>
      <c r="C1318" s="19" t="s">
        <v>1861</v>
      </c>
      <c r="D1318" s="8">
        <f t="shared" si="702"/>
        <v>3700000</v>
      </c>
      <c r="E1318" s="1">
        <f>SUM(F1318:K1318)</f>
        <v>0</v>
      </c>
      <c r="F1318" s="1">
        <v>0</v>
      </c>
      <c r="G1318" s="1">
        <v>0</v>
      </c>
      <c r="H1318" s="1">
        <v>0</v>
      </c>
      <c r="I1318" s="1">
        <v>0</v>
      </c>
      <c r="J1318" s="1">
        <v>0</v>
      </c>
      <c r="K1318" s="1">
        <v>0</v>
      </c>
      <c r="L1318" s="2">
        <v>1</v>
      </c>
      <c r="M1318" s="1">
        <f t="shared" si="704"/>
        <v>3500000</v>
      </c>
      <c r="N1318" s="1">
        <v>0</v>
      </c>
      <c r="O1318" s="1">
        <v>0</v>
      </c>
      <c r="P1318" s="1">
        <v>0</v>
      </c>
      <c r="Q1318" s="1">
        <f>1400*P1318</f>
        <v>0</v>
      </c>
      <c r="R1318" s="1">
        <v>0</v>
      </c>
      <c r="S1318" s="1">
        <f>R1318*3751</f>
        <v>0</v>
      </c>
      <c r="T1318" s="1">
        <v>0</v>
      </c>
      <c r="U1318" s="1">
        <v>200000</v>
      </c>
      <c r="V1318" s="1">
        <v>0</v>
      </c>
      <c r="W1318" s="1">
        <v>0</v>
      </c>
      <c r="X1318" s="1">
        <v>0</v>
      </c>
      <c r="Y1318" s="1">
        <v>0</v>
      </c>
      <c r="Z1318" s="1">
        <v>0</v>
      </c>
      <c r="AA1318" s="1">
        <v>0</v>
      </c>
      <c r="AB1318" s="1">
        <v>0</v>
      </c>
      <c r="AC1318" s="1">
        <v>0</v>
      </c>
      <c r="AD1318" s="1">
        <v>0</v>
      </c>
    </row>
    <row r="1319" spans="1:30" s="20" customFormat="1" ht="35.25" customHeight="1" x14ac:dyDescent="0.25">
      <c r="A1319" s="2">
        <f t="shared" si="700"/>
        <v>1276</v>
      </c>
      <c r="B1319" s="6">
        <f>A1319</f>
        <v>1276</v>
      </c>
      <c r="C1319" s="19" t="s">
        <v>1862</v>
      </c>
      <c r="D1319" s="8">
        <f t="shared" si="702"/>
        <v>3700000</v>
      </c>
      <c r="E1319" s="1">
        <f>SUM(F1319:K1319)</f>
        <v>0</v>
      </c>
      <c r="F1319" s="1">
        <v>0</v>
      </c>
      <c r="G1319" s="1">
        <v>0</v>
      </c>
      <c r="H1319" s="1">
        <v>0</v>
      </c>
      <c r="I1319" s="1">
        <v>0</v>
      </c>
      <c r="J1319" s="1">
        <v>0</v>
      </c>
      <c r="K1319" s="1">
        <v>0</v>
      </c>
      <c r="L1319" s="2">
        <v>1</v>
      </c>
      <c r="M1319" s="1">
        <f t="shared" si="704"/>
        <v>3500000</v>
      </c>
      <c r="N1319" s="1">
        <v>0</v>
      </c>
      <c r="O1319" s="1">
        <v>0</v>
      </c>
      <c r="P1319" s="1">
        <v>0</v>
      </c>
      <c r="Q1319" s="1">
        <f>1400*P1319</f>
        <v>0</v>
      </c>
      <c r="R1319" s="1">
        <v>0</v>
      </c>
      <c r="S1319" s="1">
        <f>R1319*3751</f>
        <v>0</v>
      </c>
      <c r="T1319" s="1">
        <v>0</v>
      </c>
      <c r="U1319" s="1">
        <v>200000</v>
      </c>
      <c r="V1319" s="1">
        <v>0</v>
      </c>
      <c r="W1319" s="1">
        <v>0</v>
      </c>
      <c r="X1319" s="1">
        <v>0</v>
      </c>
      <c r="Y1319" s="1">
        <v>0</v>
      </c>
      <c r="Z1319" s="1">
        <v>0</v>
      </c>
      <c r="AA1319" s="1">
        <v>0</v>
      </c>
      <c r="AB1319" s="1">
        <v>0</v>
      </c>
      <c r="AC1319" s="1">
        <v>0</v>
      </c>
      <c r="AD1319" s="1">
        <v>0</v>
      </c>
    </row>
    <row r="1320" spans="1:30" s="20" customFormat="1" ht="36" customHeight="1" x14ac:dyDescent="0.25">
      <c r="A1320" s="2">
        <f t="shared" si="700"/>
        <v>1277</v>
      </c>
      <c r="B1320" s="6">
        <f t="shared" si="711"/>
        <v>1277</v>
      </c>
      <c r="C1320" s="19" t="s">
        <v>1898</v>
      </c>
      <c r="D1320" s="4">
        <f t="shared" si="702"/>
        <v>10700000</v>
      </c>
      <c r="E1320" s="1">
        <f t="shared" si="712"/>
        <v>0</v>
      </c>
      <c r="F1320" s="1">
        <v>0</v>
      </c>
      <c r="G1320" s="1">
        <v>0</v>
      </c>
      <c r="H1320" s="1">
        <v>0</v>
      </c>
      <c r="I1320" s="1">
        <v>0</v>
      </c>
      <c r="J1320" s="1">
        <v>0</v>
      </c>
      <c r="K1320" s="1">
        <v>0</v>
      </c>
      <c r="L1320" s="2">
        <v>3</v>
      </c>
      <c r="M1320" s="1">
        <f t="shared" si="704"/>
        <v>10500000</v>
      </c>
      <c r="N1320" s="1">
        <v>0</v>
      </c>
      <c r="O1320" s="1">
        <v>0</v>
      </c>
      <c r="P1320" s="1">
        <v>0</v>
      </c>
      <c r="Q1320" s="1">
        <f t="shared" si="713"/>
        <v>0</v>
      </c>
      <c r="R1320" s="1">
        <v>0</v>
      </c>
      <c r="S1320" s="1">
        <f t="shared" si="714"/>
        <v>0</v>
      </c>
      <c r="T1320" s="1">
        <v>0</v>
      </c>
      <c r="U1320" s="1">
        <v>200000</v>
      </c>
      <c r="V1320" s="1">
        <v>0</v>
      </c>
      <c r="W1320" s="1">
        <v>0</v>
      </c>
      <c r="X1320" s="1">
        <v>0</v>
      </c>
      <c r="Y1320" s="1">
        <v>0</v>
      </c>
      <c r="Z1320" s="1">
        <v>0</v>
      </c>
      <c r="AA1320" s="1">
        <v>0</v>
      </c>
      <c r="AB1320" s="1">
        <v>0</v>
      </c>
      <c r="AC1320" s="1">
        <v>0</v>
      </c>
      <c r="AD1320" s="1">
        <v>0</v>
      </c>
    </row>
    <row r="1321" spans="1:30" s="20" customFormat="1" ht="36" customHeight="1" x14ac:dyDescent="0.25">
      <c r="A1321" s="2">
        <f t="shared" si="700"/>
        <v>1278</v>
      </c>
      <c r="B1321" s="6">
        <f>A1321</f>
        <v>1278</v>
      </c>
      <c r="C1321" s="19" t="s">
        <v>1899</v>
      </c>
      <c r="D1321" s="4">
        <f t="shared" si="702"/>
        <v>7200000</v>
      </c>
      <c r="E1321" s="1">
        <f>SUM(F1321:K1321)</f>
        <v>0</v>
      </c>
      <c r="F1321" s="1">
        <v>0</v>
      </c>
      <c r="G1321" s="1">
        <v>0</v>
      </c>
      <c r="H1321" s="1">
        <v>0</v>
      </c>
      <c r="I1321" s="1">
        <v>0</v>
      </c>
      <c r="J1321" s="1">
        <v>0</v>
      </c>
      <c r="K1321" s="1">
        <v>0</v>
      </c>
      <c r="L1321" s="2">
        <v>2</v>
      </c>
      <c r="M1321" s="1">
        <f t="shared" si="704"/>
        <v>7000000</v>
      </c>
      <c r="N1321" s="1">
        <v>0</v>
      </c>
      <c r="O1321" s="1">
        <v>0</v>
      </c>
      <c r="P1321" s="1">
        <v>0</v>
      </c>
      <c r="Q1321" s="1">
        <f>P1321*1400</f>
        <v>0</v>
      </c>
      <c r="R1321" s="1">
        <v>0</v>
      </c>
      <c r="S1321" s="1">
        <f>R1321*3751</f>
        <v>0</v>
      </c>
      <c r="T1321" s="1">
        <v>0</v>
      </c>
      <c r="U1321" s="1">
        <v>200000</v>
      </c>
      <c r="V1321" s="1">
        <v>0</v>
      </c>
      <c r="W1321" s="1">
        <v>0</v>
      </c>
      <c r="X1321" s="1">
        <v>0</v>
      </c>
      <c r="Y1321" s="1">
        <v>0</v>
      </c>
      <c r="Z1321" s="1">
        <v>0</v>
      </c>
      <c r="AA1321" s="1">
        <v>0</v>
      </c>
      <c r="AB1321" s="1">
        <v>0</v>
      </c>
      <c r="AC1321" s="1">
        <v>0</v>
      </c>
      <c r="AD1321" s="1">
        <v>0</v>
      </c>
    </row>
    <row r="1322" spans="1:30" s="20" customFormat="1" ht="36" customHeight="1" x14ac:dyDescent="0.25">
      <c r="A1322" s="2">
        <f t="shared" si="700"/>
        <v>1279</v>
      </c>
      <c r="B1322" s="6">
        <f>A1322</f>
        <v>1279</v>
      </c>
      <c r="C1322" s="19" t="s">
        <v>1900</v>
      </c>
      <c r="D1322" s="4">
        <f t="shared" si="702"/>
        <v>7200000</v>
      </c>
      <c r="E1322" s="1">
        <f>SUM(F1322:K1322)</f>
        <v>0</v>
      </c>
      <c r="F1322" s="1">
        <v>0</v>
      </c>
      <c r="G1322" s="1">
        <v>0</v>
      </c>
      <c r="H1322" s="1">
        <v>0</v>
      </c>
      <c r="I1322" s="1">
        <v>0</v>
      </c>
      <c r="J1322" s="1">
        <v>0</v>
      </c>
      <c r="K1322" s="1">
        <v>0</v>
      </c>
      <c r="L1322" s="2">
        <v>2</v>
      </c>
      <c r="M1322" s="1">
        <f t="shared" si="704"/>
        <v>7000000</v>
      </c>
      <c r="N1322" s="1">
        <v>0</v>
      </c>
      <c r="O1322" s="1">
        <v>0</v>
      </c>
      <c r="P1322" s="1">
        <v>0</v>
      </c>
      <c r="Q1322" s="1">
        <f>P1322*1400</f>
        <v>0</v>
      </c>
      <c r="R1322" s="1">
        <v>0</v>
      </c>
      <c r="S1322" s="1">
        <f>R1322*3751</f>
        <v>0</v>
      </c>
      <c r="T1322" s="1">
        <v>0</v>
      </c>
      <c r="U1322" s="1">
        <v>200000</v>
      </c>
      <c r="V1322" s="1">
        <v>0</v>
      </c>
      <c r="W1322" s="1">
        <v>0</v>
      </c>
      <c r="X1322" s="1">
        <v>0</v>
      </c>
      <c r="Y1322" s="1">
        <v>0</v>
      </c>
      <c r="Z1322" s="1">
        <v>0</v>
      </c>
      <c r="AA1322" s="1">
        <v>0</v>
      </c>
      <c r="AB1322" s="1">
        <v>0</v>
      </c>
      <c r="AC1322" s="1">
        <v>0</v>
      </c>
      <c r="AD1322" s="1">
        <v>0</v>
      </c>
    </row>
    <row r="1323" spans="1:30" s="20" customFormat="1" ht="54.95" customHeight="1" x14ac:dyDescent="0.25">
      <c r="A1323" s="3"/>
      <c r="B1323" s="47" t="s">
        <v>1971</v>
      </c>
      <c r="C1323" s="48"/>
      <c r="D1323" s="4">
        <f>SUM(D1324:D1341)</f>
        <v>364254746.64999998</v>
      </c>
      <c r="E1323" s="4">
        <f t="shared" ref="E1323:AD1323" si="715">SUM(E1324:E1341)</f>
        <v>214748721.25</v>
      </c>
      <c r="F1323" s="4">
        <f t="shared" si="715"/>
        <v>43989292.199999996</v>
      </c>
      <c r="G1323" s="4">
        <f t="shared" si="715"/>
        <v>92629193.649999991</v>
      </c>
      <c r="H1323" s="4">
        <f t="shared" si="715"/>
        <v>21338089.5</v>
      </c>
      <c r="I1323" s="4">
        <f t="shared" si="715"/>
        <v>31241151.550000001</v>
      </c>
      <c r="J1323" s="4">
        <f t="shared" si="715"/>
        <v>25550994.349999998</v>
      </c>
      <c r="K1323" s="4">
        <f t="shared" si="715"/>
        <v>0</v>
      </c>
      <c r="L1323" s="17">
        <f t="shared" si="715"/>
        <v>0</v>
      </c>
      <c r="M1323" s="4">
        <f t="shared" si="715"/>
        <v>0</v>
      </c>
      <c r="N1323" s="4">
        <f t="shared" si="715"/>
        <v>9782.7999999999993</v>
      </c>
      <c r="O1323" s="4">
        <f t="shared" si="715"/>
        <v>48600950.399999999</v>
      </c>
      <c r="P1323" s="4">
        <f t="shared" si="715"/>
        <v>400</v>
      </c>
      <c r="Q1323" s="4">
        <f t="shared" si="715"/>
        <v>560000</v>
      </c>
      <c r="R1323" s="4">
        <f t="shared" si="715"/>
        <v>26325</v>
      </c>
      <c r="S1323" s="4">
        <f t="shared" si="715"/>
        <v>98745075</v>
      </c>
      <c r="T1323" s="4">
        <f t="shared" si="715"/>
        <v>150000</v>
      </c>
      <c r="U1323" s="4">
        <f t="shared" si="715"/>
        <v>900000</v>
      </c>
      <c r="V1323" s="4">
        <f t="shared" si="715"/>
        <v>0</v>
      </c>
      <c r="W1323" s="4">
        <f t="shared" si="715"/>
        <v>550000</v>
      </c>
      <c r="X1323" s="4">
        <f t="shared" si="715"/>
        <v>0</v>
      </c>
      <c r="Y1323" s="4">
        <f t="shared" si="715"/>
        <v>0</v>
      </c>
      <c r="Z1323" s="4">
        <f t="shared" si="715"/>
        <v>0</v>
      </c>
      <c r="AA1323" s="4">
        <f t="shared" si="715"/>
        <v>0</v>
      </c>
      <c r="AB1323" s="4">
        <f t="shared" si="715"/>
        <v>0</v>
      </c>
      <c r="AC1323" s="4">
        <f t="shared" si="715"/>
        <v>0</v>
      </c>
      <c r="AD1323" s="4">
        <f t="shared" si="715"/>
        <v>0</v>
      </c>
    </row>
    <row r="1324" spans="1:30" s="20" customFormat="1" ht="36" customHeight="1" x14ac:dyDescent="0.25">
      <c r="A1324" s="2">
        <f t="shared" ref="A1324:A1341" si="716">ROW()-ROW($A$11)-33</f>
        <v>1280</v>
      </c>
      <c r="B1324" s="6">
        <f t="shared" ref="B1324:B1329" si="717">A1324</f>
        <v>1280</v>
      </c>
      <c r="C1324" s="19" t="s">
        <v>2487</v>
      </c>
      <c r="D1324" s="4">
        <f t="shared" ref="D1324:D1341" si="718">E1324+M1324+O1324+Q1324+S1324+T1324+U1324+V1324+W1324+X1324+Z1324+AA1324+AB1324+AC1324+AD1324</f>
        <v>35731049</v>
      </c>
      <c r="E1324" s="1">
        <f t="shared" ref="E1324:E1329" si="719">SUM(F1324:K1324)</f>
        <v>22558545</v>
      </c>
      <c r="F1324" s="1">
        <f>804*5747.4</f>
        <v>4620909.5999999996</v>
      </c>
      <c r="G1324" s="1">
        <f>1693*5747.4</f>
        <v>9730348.1999999993</v>
      </c>
      <c r="H1324" s="1">
        <f>390*5747.4</f>
        <v>2241486</v>
      </c>
      <c r="I1324" s="1">
        <f>571*5747.4</f>
        <v>3281765.4</v>
      </c>
      <c r="J1324" s="1">
        <f>467*5747.4</f>
        <v>2684035.7999999998</v>
      </c>
      <c r="K1324" s="1">
        <v>0</v>
      </c>
      <c r="L1324" s="2">
        <v>0</v>
      </c>
      <c r="M1324" s="1">
        <v>0</v>
      </c>
      <c r="N1324" s="1">
        <v>1228</v>
      </c>
      <c r="O1324" s="1">
        <f>N1324*4968</f>
        <v>6100704</v>
      </c>
      <c r="P1324" s="1">
        <v>50</v>
      </c>
      <c r="Q1324" s="1">
        <f>P1324*1400</f>
        <v>70000</v>
      </c>
      <c r="R1324" s="1">
        <v>1800</v>
      </c>
      <c r="S1324" s="1">
        <f>R1324*3751</f>
        <v>6751800</v>
      </c>
      <c r="T1324" s="1">
        <v>150000</v>
      </c>
      <c r="U1324" s="1">
        <v>50000</v>
      </c>
      <c r="V1324" s="1">
        <v>0</v>
      </c>
      <c r="W1324" s="1">
        <v>50000</v>
      </c>
      <c r="X1324" s="1">
        <v>0</v>
      </c>
      <c r="Y1324" s="1">
        <v>0</v>
      </c>
      <c r="Z1324" s="1">
        <v>0</v>
      </c>
      <c r="AA1324" s="1">
        <v>0</v>
      </c>
      <c r="AB1324" s="1">
        <v>0</v>
      </c>
      <c r="AC1324" s="1">
        <v>0</v>
      </c>
      <c r="AD1324" s="1">
        <v>0</v>
      </c>
    </row>
    <row r="1325" spans="1:30" s="20" customFormat="1" ht="36" customHeight="1" x14ac:dyDescent="0.25">
      <c r="A1325" s="2">
        <f t="shared" si="716"/>
        <v>1281</v>
      </c>
      <c r="B1325" s="6">
        <f t="shared" si="717"/>
        <v>1281</v>
      </c>
      <c r="C1325" s="19" t="s">
        <v>2488</v>
      </c>
      <c r="D1325" s="4">
        <f t="shared" si="718"/>
        <v>27431284.400000002</v>
      </c>
      <c r="E1325" s="1">
        <f t="shared" si="719"/>
        <v>15952770.000000002</v>
      </c>
      <c r="F1325" s="1">
        <f>804*4064.4</f>
        <v>3267777.6</v>
      </c>
      <c r="G1325" s="1">
        <f>1693*4064.4</f>
        <v>6881029.2000000002</v>
      </c>
      <c r="H1325" s="1">
        <f>390*4064.4</f>
        <v>1585116</v>
      </c>
      <c r="I1325" s="1">
        <f>571*4064.4</f>
        <v>2320772.4</v>
      </c>
      <c r="J1325" s="1">
        <f>467*4064.4</f>
        <v>1898074.8</v>
      </c>
      <c r="K1325" s="1">
        <v>0</v>
      </c>
      <c r="L1325" s="2">
        <v>0</v>
      </c>
      <c r="M1325" s="1">
        <v>0</v>
      </c>
      <c r="N1325" s="1">
        <v>855.8</v>
      </c>
      <c r="O1325" s="1">
        <f>N1325*4968</f>
        <v>4251614.3999999994</v>
      </c>
      <c r="P1325" s="1">
        <v>0</v>
      </c>
      <c r="Q1325" s="1">
        <f>P1325*1400</f>
        <v>0</v>
      </c>
      <c r="R1325" s="1">
        <v>1900</v>
      </c>
      <c r="S1325" s="1">
        <f>R1325*3751</f>
        <v>7126900</v>
      </c>
      <c r="T1325" s="1">
        <v>0</v>
      </c>
      <c r="U1325" s="1">
        <v>50000</v>
      </c>
      <c r="V1325" s="1">
        <v>0</v>
      </c>
      <c r="W1325" s="1">
        <v>50000</v>
      </c>
      <c r="X1325" s="1">
        <v>0</v>
      </c>
      <c r="Y1325" s="1">
        <v>0</v>
      </c>
      <c r="Z1325" s="1">
        <v>0</v>
      </c>
      <c r="AA1325" s="1">
        <v>0</v>
      </c>
      <c r="AB1325" s="1">
        <v>0</v>
      </c>
      <c r="AC1325" s="1">
        <v>0</v>
      </c>
      <c r="AD1325" s="1">
        <v>0</v>
      </c>
    </row>
    <row r="1326" spans="1:30" s="20" customFormat="1" ht="36" customHeight="1" x14ac:dyDescent="0.25">
      <c r="A1326" s="2">
        <f t="shared" si="716"/>
        <v>1282</v>
      </c>
      <c r="B1326" s="6">
        <f t="shared" si="717"/>
        <v>1282</v>
      </c>
      <c r="C1326" s="19" t="s">
        <v>2489</v>
      </c>
      <c r="D1326" s="4">
        <f t="shared" si="718"/>
        <v>23988327</v>
      </c>
      <c r="E1326" s="1">
        <f t="shared" si="719"/>
        <v>12399075</v>
      </c>
      <c r="F1326" s="1">
        <f>804*3159</f>
        <v>2539836</v>
      </c>
      <c r="G1326" s="1">
        <f>1693*3159</f>
        <v>5348187</v>
      </c>
      <c r="H1326" s="1">
        <f>390*3159</f>
        <v>1232010</v>
      </c>
      <c r="I1326" s="1">
        <f>571*3159</f>
        <v>1803789</v>
      </c>
      <c r="J1326" s="1">
        <f>467*3159</f>
        <v>1475253</v>
      </c>
      <c r="K1326" s="1">
        <v>0</v>
      </c>
      <c r="L1326" s="2">
        <v>0</v>
      </c>
      <c r="M1326" s="1">
        <v>0</v>
      </c>
      <c r="N1326" s="1">
        <v>864</v>
      </c>
      <c r="O1326" s="1">
        <f>N1326*4968</f>
        <v>4292352</v>
      </c>
      <c r="P1326" s="1">
        <v>50</v>
      </c>
      <c r="Q1326" s="1">
        <f>P1326*1400</f>
        <v>70000</v>
      </c>
      <c r="R1326" s="1">
        <v>1900</v>
      </c>
      <c r="S1326" s="1">
        <f>R1326*3751</f>
        <v>7126900</v>
      </c>
      <c r="T1326" s="1">
        <v>0</v>
      </c>
      <c r="U1326" s="1">
        <v>50000</v>
      </c>
      <c r="V1326" s="1">
        <v>0</v>
      </c>
      <c r="W1326" s="1">
        <v>50000</v>
      </c>
      <c r="X1326" s="1">
        <v>0</v>
      </c>
      <c r="Y1326" s="1">
        <v>0</v>
      </c>
      <c r="Z1326" s="1">
        <v>0</v>
      </c>
      <c r="AA1326" s="1">
        <v>0</v>
      </c>
      <c r="AB1326" s="1">
        <v>0</v>
      </c>
      <c r="AC1326" s="1">
        <v>0</v>
      </c>
      <c r="AD1326" s="1">
        <v>0</v>
      </c>
    </row>
    <row r="1327" spans="1:30" s="20" customFormat="1" ht="36" customHeight="1" x14ac:dyDescent="0.25">
      <c r="A1327" s="2">
        <f t="shared" si="716"/>
        <v>1283</v>
      </c>
      <c r="B1327" s="6">
        <f t="shared" si="717"/>
        <v>1283</v>
      </c>
      <c r="C1327" s="19" t="s">
        <v>2490</v>
      </c>
      <c r="D1327" s="4">
        <f t="shared" si="718"/>
        <v>27773767</v>
      </c>
      <c r="E1327" s="1">
        <f t="shared" si="719"/>
        <v>16060315.000000002</v>
      </c>
      <c r="F1327" s="1">
        <f>804*4091.8</f>
        <v>3289807.2</v>
      </c>
      <c r="G1327" s="1">
        <f>1693*4091.8</f>
        <v>6927417.4000000004</v>
      </c>
      <c r="H1327" s="1">
        <f>390*4091.8</f>
        <v>1595802</v>
      </c>
      <c r="I1327" s="1">
        <f>571*4091.8</f>
        <v>2336417.8000000003</v>
      </c>
      <c r="J1327" s="1">
        <f>467*4091.8</f>
        <v>1910870.6</v>
      </c>
      <c r="K1327" s="1">
        <v>0</v>
      </c>
      <c r="L1327" s="2">
        <v>0</v>
      </c>
      <c r="M1327" s="1">
        <v>0</v>
      </c>
      <c r="N1327" s="1">
        <v>889</v>
      </c>
      <c r="O1327" s="1">
        <f>N1327*4968</f>
        <v>4416552</v>
      </c>
      <c r="P1327" s="1">
        <v>50</v>
      </c>
      <c r="Q1327" s="1">
        <f>P1327*1400</f>
        <v>70000</v>
      </c>
      <c r="R1327" s="1">
        <v>1900</v>
      </c>
      <c r="S1327" s="1">
        <f>R1327*3751</f>
        <v>7126900</v>
      </c>
      <c r="T1327" s="1">
        <v>0</v>
      </c>
      <c r="U1327" s="1">
        <v>50000</v>
      </c>
      <c r="V1327" s="1">
        <v>0</v>
      </c>
      <c r="W1327" s="1">
        <v>50000</v>
      </c>
      <c r="X1327" s="1">
        <v>0</v>
      </c>
      <c r="Y1327" s="1">
        <v>0</v>
      </c>
      <c r="Z1327" s="1">
        <v>0</v>
      </c>
      <c r="AA1327" s="1">
        <v>0</v>
      </c>
      <c r="AB1327" s="1">
        <v>0</v>
      </c>
      <c r="AC1327" s="1">
        <v>0</v>
      </c>
      <c r="AD1327" s="1">
        <v>0</v>
      </c>
    </row>
    <row r="1328" spans="1:30" s="20" customFormat="1" ht="36" customHeight="1" x14ac:dyDescent="0.25">
      <c r="A1328" s="2">
        <f>ROW()-ROW($A$11)-33</f>
        <v>1284</v>
      </c>
      <c r="B1328" s="6">
        <f t="shared" si="717"/>
        <v>1284</v>
      </c>
      <c r="C1328" s="19" t="s">
        <v>2491</v>
      </c>
      <c r="D1328" s="4">
        <f t="shared" si="718"/>
        <v>24851957</v>
      </c>
      <c r="E1328" s="1">
        <f t="shared" si="719"/>
        <v>13637804.999999998</v>
      </c>
      <c r="F1328" s="1">
        <f>804*3474.6</f>
        <v>2793578.4</v>
      </c>
      <c r="G1328" s="1">
        <f>1693*3474.6</f>
        <v>5882497.7999999998</v>
      </c>
      <c r="H1328" s="1">
        <f>390*3474.6</f>
        <v>1355094</v>
      </c>
      <c r="I1328" s="1">
        <f>571*3474.6</f>
        <v>1983996.5999999999</v>
      </c>
      <c r="J1328" s="1">
        <f>467*3474.6</f>
        <v>1622638.2</v>
      </c>
      <c r="K1328" s="1">
        <v>0</v>
      </c>
      <c r="L1328" s="2">
        <v>0</v>
      </c>
      <c r="M1328" s="1">
        <v>0</v>
      </c>
      <c r="N1328" s="1">
        <v>864</v>
      </c>
      <c r="O1328" s="1">
        <f>N1328*4968</f>
        <v>4292352</v>
      </c>
      <c r="P1328" s="1">
        <v>50</v>
      </c>
      <c r="Q1328" s="1">
        <f>P1328*1400</f>
        <v>70000</v>
      </c>
      <c r="R1328" s="1">
        <v>1800</v>
      </c>
      <c r="S1328" s="1">
        <f>R1328*3751</f>
        <v>6751800</v>
      </c>
      <c r="T1328" s="1">
        <v>0</v>
      </c>
      <c r="U1328" s="1">
        <v>50000</v>
      </c>
      <c r="V1328" s="1">
        <v>0</v>
      </c>
      <c r="W1328" s="1">
        <v>50000</v>
      </c>
      <c r="X1328" s="1">
        <v>0</v>
      </c>
      <c r="Y1328" s="1">
        <v>0</v>
      </c>
      <c r="Z1328" s="1">
        <v>0</v>
      </c>
      <c r="AA1328" s="1">
        <v>0</v>
      </c>
      <c r="AB1328" s="1">
        <v>0</v>
      </c>
      <c r="AC1328" s="1">
        <v>0</v>
      </c>
      <c r="AD1328" s="1">
        <v>0</v>
      </c>
    </row>
    <row r="1329" spans="1:30" s="20" customFormat="1" ht="36" customHeight="1" x14ac:dyDescent="0.25">
      <c r="A1329" s="2">
        <f t="shared" si="716"/>
        <v>1285</v>
      </c>
      <c r="B1329" s="6">
        <f t="shared" si="717"/>
        <v>1285</v>
      </c>
      <c r="C1329" s="19" t="s">
        <v>2492</v>
      </c>
      <c r="D1329" s="4">
        <f t="shared" si="718"/>
        <v>36569597.5</v>
      </c>
      <c r="E1329" s="1">
        <f t="shared" si="719"/>
        <v>23686197.499999996</v>
      </c>
      <c r="F1329" s="1">
        <f>804*6034.7</f>
        <v>4851898.8</v>
      </c>
      <c r="G1329" s="1">
        <f>1693*6034.7</f>
        <v>10216747.1</v>
      </c>
      <c r="H1329" s="1">
        <f>390*6034.7</f>
        <v>2353533</v>
      </c>
      <c r="I1329" s="1">
        <f>571*6034.7</f>
        <v>3445813.6999999997</v>
      </c>
      <c r="J1329" s="1">
        <f>467*6034.7</f>
        <v>2818204.9</v>
      </c>
      <c r="K1329" s="1">
        <v>0</v>
      </c>
      <c r="L1329" s="2">
        <v>0</v>
      </c>
      <c r="M1329" s="1">
        <v>0</v>
      </c>
      <c r="N1329" s="1">
        <v>1200</v>
      </c>
      <c r="O1329" s="1">
        <f t="shared" ref="O1329:O1330" si="720">N1329*4968</f>
        <v>5961600</v>
      </c>
      <c r="P1329" s="1">
        <v>50</v>
      </c>
      <c r="Q1329" s="1">
        <f t="shared" ref="Q1329:Q1330" si="721">P1329*1400</f>
        <v>70000</v>
      </c>
      <c r="R1329" s="1">
        <v>1800</v>
      </c>
      <c r="S1329" s="1">
        <f t="shared" ref="S1329:S1338" si="722">R1329*3751</f>
        <v>6751800</v>
      </c>
      <c r="T1329" s="1">
        <v>0</v>
      </c>
      <c r="U1329" s="1">
        <v>50000</v>
      </c>
      <c r="V1329" s="1">
        <v>0</v>
      </c>
      <c r="W1329" s="1">
        <v>50000</v>
      </c>
      <c r="X1329" s="1">
        <v>0</v>
      </c>
      <c r="Y1329" s="1">
        <v>0</v>
      </c>
      <c r="Z1329" s="1">
        <v>0</v>
      </c>
      <c r="AA1329" s="1">
        <v>0</v>
      </c>
      <c r="AB1329" s="1">
        <v>0</v>
      </c>
      <c r="AC1329" s="1">
        <v>0</v>
      </c>
      <c r="AD1329" s="1">
        <v>0</v>
      </c>
    </row>
    <row r="1330" spans="1:30" s="20" customFormat="1" ht="36" customHeight="1" x14ac:dyDescent="0.25">
      <c r="A1330" s="2">
        <f t="shared" si="716"/>
        <v>1286</v>
      </c>
      <c r="B1330" s="6">
        <f t="shared" ref="B1330:B1337" si="723">A1330</f>
        <v>1286</v>
      </c>
      <c r="C1330" s="19" t="s">
        <v>1827</v>
      </c>
      <c r="D1330" s="4">
        <f t="shared" si="718"/>
        <v>28184770</v>
      </c>
      <c r="E1330" s="1">
        <f t="shared" ref="E1330:E1341" si="724">SUM(F1330:K1330)</f>
        <v>15714129.999999998</v>
      </c>
      <c r="F1330" s="1">
        <f>804*4003.6</f>
        <v>3218894.4</v>
      </c>
      <c r="G1330" s="1">
        <f>1693*4003.6</f>
        <v>6778094.7999999998</v>
      </c>
      <c r="H1330" s="1">
        <f>390*4003.6</f>
        <v>1561404</v>
      </c>
      <c r="I1330" s="1">
        <f>571*4003.6</f>
        <v>2286055.6</v>
      </c>
      <c r="J1330" s="1">
        <f>467*4003.6</f>
        <v>1869681.2</v>
      </c>
      <c r="K1330" s="1">
        <v>0</v>
      </c>
      <c r="L1330" s="2">
        <v>0</v>
      </c>
      <c r="M1330" s="1">
        <v>0</v>
      </c>
      <c r="N1330" s="1">
        <v>980</v>
      </c>
      <c r="O1330" s="1">
        <f t="shared" si="720"/>
        <v>4868640</v>
      </c>
      <c r="P1330" s="1">
        <v>0</v>
      </c>
      <c r="Q1330" s="1">
        <f t="shared" si="721"/>
        <v>0</v>
      </c>
      <c r="R1330" s="1">
        <v>2000</v>
      </c>
      <c r="S1330" s="1">
        <f t="shared" si="722"/>
        <v>7502000</v>
      </c>
      <c r="T1330" s="1">
        <v>0</v>
      </c>
      <c r="U1330" s="1">
        <v>50000</v>
      </c>
      <c r="V1330" s="1">
        <v>0</v>
      </c>
      <c r="W1330" s="1">
        <v>50000</v>
      </c>
      <c r="X1330" s="1">
        <v>0</v>
      </c>
      <c r="Y1330" s="1">
        <v>0</v>
      </c>
      <c r="Z1330" s="1">
        <v>0</v>
      </c>
      <c r="AA1330" s="1">
        <v>0</v>
      </c>
      <c r="AB1330" s="1">
        <v>0</v>
      </c>
      <c r="AC1330" s="1">
        <v>0</v>
      </c>
      <c r="AD1330" s="1">
        <v>0</v>
      </c>
    </row>
    <row r="1331" spans="1:30" s="21" customFormat="1" ht="35.1" customHeight="1" x14ac:dyDescent="0.25">
      <c r="A1331" s="2">
        <f t="shared" si="716"/>
        <v>1287</v>
      </c>
      <c r="B1331" s="6">
        <f t="shared" si="723"/>
        <v>1287</v>
      </c>
      <c r="C1331" s="19" t="s">
        <v>2493</v>
      </c>
      <c r="D1331" s="4">
        <f t="shared" si="718"/>
        <v>2577503.75</v>
      </c>
      <c r="E1331" s="1">
        <f t="shared" si="724"/>
        <v>2527503.75</v>
      </c>
      <c r="F1331" s="1">
        <f>804*643.95</f>
        <v>517735.80000000005</v>
      </c>
      <c r="G1331" s="1">
        <f>1693*643.95</f>
        <v>1090207.3500000001</v>
      </c>
      <c r="H1331" s="1">
        <f>390*643.95</f>
        <v>251140.50000000003</v>
      </c>
      <c r="I1331" s="1">
        <f>571*643.95</f>
        <v>367695.45</v>
      </c>
      <c r="J1331" s="1">
        <f>467*643.95</f>
        <v>300724.65000000002</v>
      </c>
      <c r="K1331" s="1">
        <v>0</v>
      </c>
      <c r="L1331" s="2">
        <v>0</v>
      </c>
      <c r="M1331" s="1">
        <v>0</v>
      </c>
      <c r="N1331" s="1">
        <v>0</v>
      </c>
      <c r="O1331" s="1">
        <v>0</v>
      </c>
      <c r="P1331" s="1">
        <v>0</v>
      </c>
      <c r="Q1331" s="1">
        <f>P1331*1400</f>
        <v>0</v>
      </c>
      <c r="R1331" s="1">
        <v>0</v>
      </c>
      <c r="S1331" s="1">
        <f t="shared" si="722"/>
        <v>0</v>
      </c>
      <c r="T1331" s="1">
        <v>0</v>
      </c>
      <c r="U1331" s="1">
        <v>50000</v>
      </c>
      <c r="V1331" s="1">
        <v>0</v>
      </c>
      <c r="W1331" s="1">
        <v>0</v>
      </c>
      <c r="X1331" s="1">
        <v>0</v>
      </c>
      <c r="Y1331" s="1">
        <v>0</v>
      </c>
      <c r="Z1331" s="1">
        <v>0</v>
      </c>
      <c r="AA1331" s="1">
        <v>0</v>
      </c>
      <c r="AB1331" s="1">
        <v>0</v>
      </c>
      <c r="AC1331" s="1">
        <v>0</v>
      </c>
      <c r="AD1331" s="1">
        <v>0</v>
      </c>
    </row>
    <row r="1332" spans="1:30" s="21" customFormat="1" ht="35.1" customHeight="1" x14ac:dyDescent="0.25">
      <c r="A1332" s="2">
        <f t="shared" si="716"/>
        <v>1288</v>
      </c>
      <c r="B1332" s="6">
        <f t="shared" si="723"/>
        <v>1288</v>
      </c>
      <c r="C1332" s="19" t="s">
        <v>2494</v>
      </c>
      <c r="D1332" s="4">
        <f t="shared" si="718"/>
        <v>16870602.5</v>
      </c>
      <c r="E1332" s="1">
        <f t="shared" si="724"/>
        <v>10068802.5</v>
      </c>
      <c r="F1332" s="7">
        <f>804*2565.3</f>
        <v>2062501.2000000002</v>
      </c>
      <c r="G1332" s="7">
        <f>1693*2565.3</f>
        <v>4343052.9000000004</v>
      </c>
      <c r="H1332" s="7">
        <f>390*2565.3</f>
        <v>1000467.0000000001</v>
      </c>
      <c r="I1332" s="7">
        <f>571*2565.3</f>
        <v>1464786.3</v>
      </c>
      <c r="J1332" s="7">
        <f>467*2565.3</f>
        <v>1197995.1000000001</v>
      </c>
      <c r="K1332" s="1">
        <v>0</v>
      </c>
      <c r="L1332" s="2">
        <v>0</v>
      </c>
      <c r="M1332" s="1">
        <v>0</v>
      </c>
      <c r="N1332" s="1">
        <v>0</v>
      </c>
      <c r="O1332" s="1">
        <v>0</v>
      </c>
      <c r="P1332" s="1">
        <v>0</v>
      </c>
      <c r="Q1332" s="1">
        <f>P1332*1400</f>
        <v>0</v>
      </c>
      <c r="R1332" s="1">
        <v>1800</v>
      </c>
      <c r="S1332" s="1">
        <f t="shared" si="722"/>
        <v>6751800</v>
      </c>
      <c r="T1332" s="1">
        <v>0</v>
      </c>
      <c r="U1332" s="1">
        <v>50000</v>
      </c>
      <c r="V1332" s="1">
        <v>0</v>
      </c>
      <c r="W1332" s="1">
        <v>0</v>
      </c>
      <c r="X1332" s="1">
        <v>0</v>
      </c>
      <c r="Y1332" s="1">
        <v>0</v>
      </c>
      <c r="Z1332" s="1">
        <v>0</v>
      </c>
      <c r="AA1332" s="1">
        <v>0</v>
      </c>
      <c r="AB1332" s="1">
        <v>0</v>
      </c>
      <c r="AC1332" s="1">
        <v>0</v>
      </c>
      <c r="AD1332" s="1">
        <v>0</v>
      </c>
    </row>
    <row r="1333" spans="1:30" s="21" customFormat="1" ht="35.1" customHeight="1" x14ac:dyDescent="0.25">
      <c r="A1333" s="2">
        <f t="shared" si="716"/>
        <v>1289</v>
      </c>
      <c r="B1333" s="6">
        <f t="shared" si="723"/>
        <v>1289</v>
      </c>
      <c r="C1333" s="19" t="s">
        <v>2495</v>
      </c>
      <c r="D1333" s="4">
        <f t="shared" si="718"/>
        <v>17711337.5</v>
      </c>
      <c r="E1333" s="1">
        <f t="shared" si="724"/>
        <v>10909537.5</v>
      </c>
      <c r="F1333" s="1">
        <f>804*2779.5</f>
        <v>2234718</v>
      </c>
      <c r="G1333" s="1">
        <f>1693*2779.5</f>
        <v>4705693.5</v>
      </c>
      <c r="H1333" s="1">
        <f>390*2779.5</f>
        <v>1084005</v>
      </c>
      <c r="I1333" s="1">
        <f>571*2779.5</f>
        <v>1587094.5</v>
      </c>
      <c r="J1333" s="1">
        <f>467*2779.5</f>
        <v>1298026.5</v>
      </c>
      <c r="K1333" s="1">
        <v>0</v>
      </c>
      <c r="L1333" s="2">
        <v>0</v>
      </c>
      <c r="M1333" s="1">
        <v>0</v>
      </c>
      <c r="N1333" s="1">
        <v>0</v>
      </c>
      <c r="O1333" s="1">
        <v>0</v>
      </c>
      <c r="P1333" s="1">
        <v>0</v>
      </c>
      <c r="Q1333" s="1">
        <f>P1333*1400</f>
        <v>0</v>
      </c>
      <c r="R1333" s="1">
        <v>1800</v>
      </c>
      <c r="S1333" s="1">
        <f t="shared" si="722"/>
        <v>6751800</v>
      </c>
      <c r="T1333" s="1">
        <v>0</v>
      </c>
      <c r="U1333" s="1">
        <v>50000</v>
      </c>
      <c r="V1333" s="1">
        <v>0</v>
      </c>
      <c r="W1333" s="1">
        <v>0</v>
      </c>
      <c r="X1333" s="1">
        <v>0</v>
      </c>
      <c r="Y1333" s="1">
        <v>0</v>
      </c>
      <c r="Z1333" s="1">
        <v>0</v>
      </c>
      <c r="AA1333" s="1">
        <v>0</v>
      </c>
      <c r="AB1333" s="1">
        <v>0</v>
      </c>
      <c r="AC1333" s="1">
        <v>0</v>
      </c>
      <c r="AD1333" s="1">
        <v>0</v>
      </c>
    </row>
    <row r="1334" spans="1:30" s="21" customFormat="1" ht="35.1" customHeight="1" x14ac:dyDescent="0.25">
      <c r="A1334" s="2">
        <f t="shared" si="716"/>
        <v>1290</v>
      </c>
      <c r="B1334" s="6">
        <f t="shared" si="723"/>
        <v>1290</v>
      </c>
      <c r="C1334" s="19" t="s">
        <v>2496</v>
      </c>
      <c r="D1334" s="4">
        <f t="shared" si="718"/>
        <v>2587512.5</v>
      </c>
      <c r="E1334" s="1">
        <f t="shared" si="724"/>
        <v>2537512.5</v>
      </c>
      <c r="F1334" s="1">
        <f>804*646.5</f>
        <v>519786</v>
      </c>
      <c r="G1334" s="1">
        <f>1693*646.5</f>
        <v>1094524.5</v>
      </c>
      <c r="H1334" s="1">
        <f>390*646.5</f>
        <v>252135</v>
      </c>
      <c r="I1334" s="1">
        <f>571*646.5</f>
        <v>369151.5</v>
      </c>
      <c r="J1334" s="1">
        <f>467*646.5</f>
        <v>301915.5</v>
      </c>
      <c r="K1334" s="1">
        <v>0</v>
      </c>
      <c r="L1334" s="2">
        <v>0</v>
      </c>
      <c r="M1334" s="1">
        <v>0</v>
      </c>
      <c r="N1334" s="1">
        <v>0</v>
      </c>
      <c r="O1334" s="1">
        <v>0</v>
      </c>
      <c r="P1334" s="1">
        <v>0</v>
      </c>
      <c r="Q1334" s="1">
        <f>P1334*1400</f>
        <v>0</v>
      </c>
      <c r="R1334" s="1">
        <v>0</v>
      </c>
      <c r="S1334" s="1">
        <f t="shared" si="722"/>
        <v>0</v>
      </c>
      <c r="T1334" s="1">
        <v>0</v>
      </c>
      <c r="U1334" s="1">
        <v>50000</v>
      </c>
      <c r="V1334" s="1">
        <v>0</v>
      </c>
      <c r="W1334" s="1">
        <v>0</v>
      </c>
      <c r="X1334" s="1">
        <v>0</v>
      </c>
      <c r="Y1334" s="1">
        <v>0</v>
      </c>
      <c r="Z1334" s="1">
        <v>0</v>
      </c>
      <c r="AA1334" s="1">
        <v>0</v>
      </c>
      <c r="AB1334" s="1">
        <v>0</v>
      </c>
      <c r="AC1334" s="1">
        <v>0</v>
      </c>
      <c r="AD1334" s="1">
        <v>0</v>
      </c>
    </row>
    <row r="1335" spans="1:30" s="20" customFormat="1" ht="36" customHeight="1" x14ac:dyDescent="0.25">
      <c r="A1335" s="2">
        <f t="shared" si="716"/>
        <v>1291</v>
      </c>
      <c r="B1335" s="6">
        <f t="shared" si="723"/>
        <v>1291</v>
      </c>
      <c r="C1335" s="19" t="s">
        <v>2497</v>
      </c>
      <c r="D1335" s="4">
        <f t="shared" si="718"/>
        <v>3401393</v>
      </c>
      <c r="E1335" s="1">
        <f t="shared" si="724"/>
        <v>1055825</v>
      </c>
      <c r="F1335" s="1">
        <f>804*269</f>
        <v>216276</v>
      </c>
      <c r="G1335" s="1">
        <f>1693*269</f>
        <v>455417</v>
      </c>
      <c r="H1335" s="1">
        <f>390*269</f>
        <v>104910</v>
      </c>
      <c r="I1335" s="1">
        <f>571*269</f>
        <v>153599</v>
      </c>
      <c r="J1335" s="1">
        <f>467*269</f>
        <v>125623</v>
      </c>
      <c r="K1335" s="1">
        <v>0</v>
      </c>
      <c r="L1335" s="2">
        <v>0</v>
      </c>
      <c r="M1335" s="1">
        <v>0</v>
      </c>
      <c r="N1335" s="1">
        <v>301</v>
      </c>
      <c r="O1335" s="1">
        <f>N1335*4968</f>
        <v>1495368</v>
      </c>
      <c r="P1335" s="1">
        <v>0</v>
      </c>
      <c r="Q1335" s="1">
        <f t="shared" ref="Q1335:Q1341" si="725">P1335*1400</f>
        <v>0</v>
      </c>
      <c r="R1335" s="1">
        <v>200</v>
      </c>
      <c r="S1335" s="1">
        <f t="shared" si="722"/>
        <v>750200</v>
      </c>
      <c r="T1335" s="1">
        <v>0</v>
      </c>
      <c r="U1335" s="1">
        <v>50000</v>
      </c>
      <c r="V1335" s="1">
        <v>0</v>
      </c>
      <c r="W1335" s="1">
        <v>50000</v>
      </c>
      <c r="X1335" s="1">
        <v>0</v>
      </c>
      <c r="Y1335" s="1">
        <v>0</v>
      </c>
      <c r="Z1335" s="1">
        <v>0</v>
      </c>
      <c r="AA1335" s="1">
        <v>0</v>
      </c>
      <c r="AB1335" s="1">
        <v>0</v>
      </c>
      <c r="AC1335" s="1">
        <v>0</v>
      </c>
      <c r="AD1335" s="1">
        <v>0</v>
      </c>
    </row>
    <row r="1336" spans="1:30" s="20" customFormat="1" ht="36" customHeight="1" x14ac:dyDescent="0.25">
      <c r="A1336" s="2">
        <f t="shared" si="716"/>
        <v>1292</v>
      </c>
      <c r="B1336" s="6">
        <f t="shared" si="723"/>
        <v>1292</v>
      </c>
      <c r="C1336" s="19" t="s">
        <v>2498</v>
      </c>
      <c r="D1336" s="4">
        <f t="shared" si="718"/>
        <v>24671881.5</v>
      </c>
      <c r="E1336" s="1">
        <f t="shared" si="724"/>
        <v>13214297.499999998</v>
      </c>
      <c r="F1336" s="1">
        <f>804*3366.7</f>
        <v>2706826.8</v>
      </c>
      <c r="G1336" s="1">
        <f>1693*3366.7</f>
        <v>5699823.0999999996</v>
      </c>
      <c r="H1336" s="1">
        <f>390*3366.7</f>
        <v>1313013</v>
      </c>
      <c r="I1336" s="1">
        <f>571*3366.7</f>
        <v>1922385.7</v>
      </c>
      <c r="J1336" s="1">
        <f>467*3366.7</f>
        <v>1572248.9</v>
      </c>
      <c r="K1336" s="1">
        <v>0</v>
      </c>
      <c r="L1336" s="2">
        <v>0</v>
      </c>
      <c r="M1336" s="1">
        <v>0</v>
      </c>
      <c r="N1336" s="1">
        <v>913</v>
      </c>
      <c r="O1336" s="1">
        <f>N1336*4968</f>
        <v>4535784</v>
      </c>
      <c r="P1336" s="1">
        <v>50</v>
      </c>
      <c r="Q1336" s="1">
        <f t="shared" si="725"/>
        <v>70000</v>
      </c>
      <c r="R1336" s="1">
        <v>1800</v>
      </c>
      <c r="S1336" s="1">
        <f t="shared" si="722"/>
        <v>6751800</v>
      </c>
      <c r="T1336" s="1">
        <v>0</v>
      </c>
      <c r="U1336" s="1">
        <v>50000</v>
      </c>
      <c r="V1336" s="1">
        <v>0</v>
      </c>
      <c r="W1336" s="1">
        <v>50000</v>
      </c>
      <c r="X1336" s="1">
        <v>0</v>
      </c>
      <c r="Y1336" s="1">
        <v>0</v>
      </c>
      <c r="Z1336" s="1">
        <v>0</v>
      </c>
      <c r="AA1336" s="1">
        <v>0</v>
      </c>
      <c r="AB1336" s="1">
        <v>0</v>
      </c>
      <c r="AC1336" s="1">
        <v>0</v>
      </c>
      <c r="AD1336" s="1">
        <v>0</v>
      </c>
    </row>
    <row r="1337" spans="1:30" s="20" customFormat="1" ht="36" customHeight="1" x14ac:dyDescent="0.25">
      <c r="A1337" s="2">
        <f t="shared" si="716"/>
        <v>1293</v>
      </c>
      <c r="B1337" s="6">
        <f t="shared" si="723"/>
        <v>1293</v>
      </c>
      <c r="C1337" s="19" t="s">
        <v>2499</v>
      </c>
      <c r="D1337" s="4">
        <f t="shared" si="718"/>
        <v>20979522.5</v>
      </c>
      <c r="E1337" s="1">
        <f t="shared" si="724"/>
        <v>13708847.499999998</v>
      </c>
      <c r="F1337" s="1">
        <f>804*3492.7</f>
        <v>2808130.8</v>
      </c>
      <c r="G1337" s="1">
        <f>1693*3492.7</f>
        <v>5913141.0999999996</v>
      </c>
      <c r="H1337" s="1">
        <f>390*3492.7</f>
        <v>1362153</v>
      </c>
      <c r="I1337" s="1">
        <f>571*3492.7</f>
        <v>1994331.7</v>
      </c>
      <c r="J1337" s="1">
        <f>467*3492.7</f>
        <v>1631090.9</v>
      </c>
      <c r="K1337" s="1">
        <v>0</v>
      </c>
      <c r="L1337" s="2">
        <v>0</v>
      </c>
      <c r="M1337" s="1">
        <v>0</v>
      </c>
      <c r="N1337" s="1">
        <v>0</v>
      </c>
      <c r="O1337" s="1">
        <v>0</v>
      </c>
      <c r="P1337" s="1">
        <v>0</v>
      </c>
      <c r="Q1337" s="1">
        <f t="shared" si="725"/>
        <v>0</v>
      </c>
      <c r="R1337" s="1">
        <v>1925</v>
      </c>
      <c r="S1337" s="1">
        <f t="shared" si="722"/>
        <v>7220675</v>
      </c>
      <c r="T1337" s="1">
        <v>0</v>
      </c>
      <c r="U1337" s="1">
        <v>50000</v>
      </c>
      <c r="V1337" s="1">
        <v>0</v>
      </c>
      <c r="W1337" s="1">
        <v>0</v>
      </c>
      <c r="X1337" s="1">
        <v>0</v>
      </c>
      <c r="Y1337" s="1">
        <v>0</v>
      </c>
      <c r="Z1337" s="1">
        <v>0</v>
      </c>
      <c r="AA1337" s="1">
        <v>0</v>
      </c>
      <c r="AB1337" s="1">
        <v>0</v>
      </c>
      <c r="AC1337" s="1">
        <v>0</v>
      </c>
      <c r="AD1337" s="1">
        <v>0</v>
      </c>
    </row>
    <row r="1338" spans="1:30" s="20" customFormat="1" ht="36" customHeight="1" x14ac:dyDescent="0.25">
      <c r="A1338" s="2">
        <f t="shared" si="716"/>
        <v>1294</v>
      </c>
      <c r="B1338" s="6">
        <f>A1338</f>
        <v>1294</v>
      </c>
      <c r="C1338" s="19" t="s">
        <v>2500</v>
      </c>
      <c r="D1338" s="4">
        <f t="shared" si="718"/>
        <v>19717667.5</v>
      </c>
      <c r="E1338" s="1">
        <f t="shared" si="724"/>
        <v>12540767.499999998</v>
      </c>
      <c r="F1338" s="1">
        <f>804*3195.1</f>
        <v>2568860.4</v>
      </c>
      <c r="G1338" s="1">
        <f>1693*3195.1</f>
        <v>5409304.2999999998</v>
      </c>
      <c r="H1338" s="1">
        <f>390*3195.1</f>
        <v>1246089</v>
      </c>
      <c r="I1338" s="1">
        <f>571*3195.1</f>
        <v>1824402.0999999999</v>
      </c>
      <c r="J1338" s="1">
        <f>467*3195.1</f>
        <v>1492111.7</v>
      </c>
      <c r="K1338" s="1">
        <v>0</v>
      </c>
      <c r="L1338" s="2">
        <v>0</v>
      </c>
      <c r="M1338" s="1">
        <v>0</v>
      </c>
      <c r="N1338" s="1">
        <v>0</v>
      </c>
      <c r="O1338" s="1">
        <v>0</v>
      </c>
      <c r="P1338" s="1">
        <v>0</v>
      </c>
      <c r="Q1338" s="1">
        <f t="shared" si="725"/>
        <v>0</v>
      </c>
      <c r="R1338" s="1">
        <v>1900</v>
      </c>
      <c r="S1338" s="1">
        <f t="shared" si="722"/>
        <v>7126900</v>
      </c>
      <c r="T1338" s="1">
        <v>0</v>
      </c>
      <c r="U1338" s="1">
        <v>50000</v>
      </c>
      <c r="V1338" s="1">
        <v>0</v>
      </c>
      <c r="W1338" s="1">
        <v>0</v>
      </c>
      <c r="X1338" s="1">
        <v>0</v>
      </c>
      <c r="Y1338" s="1">
        <v>0</v>
      </c>
      <c r="Z1338" s="1">
        <v>0</v>
      </c>
      <c r="AA1338" s="1">
        <v>0</v>
      </c>
      <c r="AB1338" s="1">
        <v>0</v>
      </c>
      <c r="AC1338" s="1">
        <v>0</v>
      </c>
      <c r="AD1338" s="1">
        <v>0</v>
      </c>
    </row>
    <row r="1339" spans="1:30" s="20" customFormat="1" ht="36" customHeight="1" x14ac:dyDescent="0.25">
      <c r="A1339" s="2">
        <f t="shared" si="716"/>
        <v>1295</v>
      </c>
      <c r="B1339" s="6">
        <f>A1339</f>
        <v>1295</v>
      </c>
      <c r="C1339" s="19" t="s">
        <v>2501</v>
      </c>
      <c r="D1339" s="4">
        <f t="shared" si="718"/>
        <v>23993663</v>
      </c>
      <c r="E1339" s="1">
        <f t="shared" si="724"/>
        <v>12543515.000000002</v>
      </c>
      <c r="F1339" s="1">
        <f>804*3195.8</f>
        <v>2569423.2000000002</v>
      </c>
      <c r="G1339" s="1">
        <f>1693*3195.8</f>
        <v>5410489.4000000004</v>
      </c>
      <c r="H1339" s="1">
        <f>390*3195.8</f>
        <v>1246362</v>
      </c>
      <c r="I1339" s="1">
        <f>571*3195.8</f>
        <v>1824801.8</v>
      </c>
      <c r="J1339" s="1">
        <f>467*3195.8</f>
        <v>1492438.6</v>
      </c>
      <c r="K1339" s="1">
        <v>0</v>
      </c>
      <c r="L1339" s="2">
        <v>0</v>
      </c>
      <c r="M1339" s="1">
        <v>0</v>
      </c>
      <c r="N1339" s="1">
        <v>836</v>
      </c>
      <c r="O1339" s="1">
        <f>N1339*4968</f>
        <v>4153248</v>
      </c>
      <c r="P1339" s="1">
        <v>50</v>
      </c>
      <c r="Q1339" s="1">
        <f t="shared" si="725"/>
        <v>70000</v>
      </c>
      <c r="R1339" s="1">
        <v>1900</v>
      </c>
      <c r="S1339" s="1">
        <f>R1339*3751</f>
        <v>7126900</v>
      </c>
      <c r="T1339" s="1">
        <v>0</v>
      </c>
      <c r="U1339" s="1">
        <v>50000</v>
      </c>
      <c r="V1339" s="1">
        <v>0</v>
      </c>
      <c r="W1339" s="1">
        <v>50000</v>
      </c>
      <c r="X1339" s="1">
        <v>0</v>
      </c>
      <c r="Y1339" s="1">
        <v>0</v>
      </c>
      <c r="Z1339" s="1">
        <v>0</v>
      </c>
      <c r="AA1339" s="1">
        <v>0</v>
      </c>
      <c r="AB1339" s="1">
        <v>0</v>
      </c>
      <c r="AC1339" s="1">
        <v>0</v>
      </c>
      <c r="AD1339" s="1">
        <v>0</v>
      </c>
    </row>
    <row r="1340" spans="1:30" s="20" customFormat="1" ht="36" customHeight="1" x14ac:dyDescent="0.25">
      <c r="A1340" s="2">
        <f t="shared" si="716"/>
        <v>1296</v>
      </c>
      <c r="B1340" s="6">
        <f>A1340</f>
        <v>1296</v>
      </c>
      <c r="C1340" s="19" t="s">
        <v>2502</v>
      </c>
      <c r="D1340" s="4">
        <f t="shared" si="718"/>
        <v>25510486</v>
      </c>
      <c r="E1340" s="1">
        <f t="shared" si="724"/>
        <v>13980850</v>
      </c>
      <c r="F1340" s="1">
        <f>804*3562</f>
        <v>2863848</v>
      </c>
      <c r="G1340" s="1">
        <f>1693*3562</f>
        <v>6030466</v>
      </c>
      <c r="H1340" s="1">
        <f>390*3562</f>
        <v>1389180</v>
      </c>
      <c r="I1340" s="1">
        <f>571*3562</f>
        <v>2033902</v>
      </c>
      <c r="J1340" s="1">
        <f>467*3562</f>
        <v>1663454</v>
      </c>
      <c r="K1340" s="1">
        <v>0</v>
      </c>
      <c r="L1340" s="2">
        <v>0</v>
      </c>
      <c r="M1340" s="1">
        <v>0</v>
      </c>
      <c r="N1340" s="1">
        <v>852</v>
      </c>
      <c r="O1340" s="1">
        <f>N1340*4968</f>
        <v>4232736</v>
      </c>
      <c r="P1340" s="1">
        <v>50</v>
      </c>
      <c r="Q1340" s="1">
        <f t="shared" si="725"/>
        <v>70000</v>
      </c>
      <c r="R1340" s="1">
        <v>1900</v>
      </c>
      <c r="S1340" s="1">
        <f>R1340*3751</f>
        <v>7126900</v>
      </c>
      <c r="T1340" s="1">
        <v>0</v>
      </c>
      <c r="U1340" s="1">
        <v>50000</v>
      </c>
      <c r="V1340" s="1">
        <v>0</v>
      </c>
      <c r="W1340" s="1">
        <v>50000</v>
      </c>
      <c r="X1340" s="1">
        <v>0</v>
      </c>
      <c r="Y1340" s="1">
        <v>0</v>
      </c>
      <c r="Z1340" s="1">
        <v>0</v>
      </c>
      <c r="AA1340" s="1">
        <v>0</v>
      </c>
      <c r="AB1340" s="1">
        <v>0</v>
      </c>
      <c r="AC1340" s="1">
        <v>0</v>
      </c>
      <c r="AD1340" s="1">
        <v>0</v>
      </c>
    </row>
    <row r="1341" spans="1:30" s="20" customFormat="1" ht="36" customHeight="1" x14ac:dyDescent="0.25">
      <c r="A1341" s="2">
        <f t="shared" si="716"/>
        <v>1297</v>
      </c>
      <c r="B1341" s="6">
        <f>A1341</f>
        <v>1297</v>
      </c>
      <c r="C1341" s="19" t="s">
        <v>84</v>
      </c>
      <c r="D1341" s="4">
        <f t="shared" si="718"/>
        <v>1702425</v>
      </c>
      <c r="E1341" s="1">
        <f t="shared" si="724"/>
        <v>1652425</v>
      </c>
      <c r="F1341" s="7">
        <f>804*421</f>
        <v>338484</v>
      </c>
      <c r="G1341" s="7">
        <f>1693*421</f>
        <v>712753</v>
      </c>
      <c r="H1341" s="7">
        <f>390*421</f>
        <v>164190</v>
      </c>
      <c r="I1341" s="7">
        <f>571*421</f>
        <v>240391</v>
      </c>
      <c r="J1341" s="7">
        <f>467*421</f>
        <v>196607</v>
      </c>
      <c r="K1341" s="1">
        <v>0</v>
      </c>
      <c r="L1341" s="2">
        <v>0</v>
      </c>
      <c r="M1341" s="1">
        <v>0</v>
      </c>
      <c r="N1341" s="1">
        <v>0</v>
      </c>
      <c r="O1341" s="1">
        <v>0</v>
      </c>
      <c r="P1341" s="1">
        <v>0</v>
      </c>
      <c r="Q1341" s="1">
        <f t="shared" si="725"/>
        <v>0</v>
      </c>
      <c r="R1341" s="1">
        <v>0</v>
      </c>
      <c r="S1341" s="1">
        <f>R1341*3751</f>
        <v>0</v>
      </c>
      <c r="T1341" s="1">
        <v>0</v>
      </c>
      <c r="U1341" s="1">
        <v>50000</v>
      </c>
      <c r="V1341" s="1">
        <v>0</v>
      </c>
      <c r="W1341" s="1">
        <v>0</v>
      </c>
      <c r="X1341" s="1">
        <v>0</v>
      </c>
      <c r="Y1341" s="1">
        <v>0</v>
      </c>
      <c r="Z1341" s="1">
        <v>0</v>
      </c>
      <c r="AA1341" s="1">
        <v>0</v>
      </c>
      <c r="AB1341" s="1">
        <v>0</v>
      </c>
      <c r="AC1341" s="1">
        <v>0</v>
      </c>
      <c r="AD1341" s="1">
        <v>0</v>
      </c>
    </row>
    <row r="1342" spans="1:30" s="20" customFormat="1" ht="54.95" customHeight="1" x14ac:dyDescent="0.25">
      <c r="A1342" s="3"/>
      <c r="B1342" s="47" t="s">
        <v>1972</v>
      </c>
      <c r="C1342" s="48"/>
      <c r="D1342" s="4">
        <f>SUM(D1343:D1346)</f>
        <v>3834215.4</v>
      </c>
      <c r="E1342" s="4">
        <f t="shared" ref="E1342:AD1342" si="726">SUM(E1343:E1346)</f>
        <v>3634215.4</v>
      </c>
      <c r="F1342" s="4">
        <f t="shared" si="726"/>
        <v>1462717.1999999997</v>
      </c>
      <c r="G1342" s="4">
        <f t="shared" si="726"/>
        <v>612358.1</v>
      </c>
      <c r="H1342" s="4">
        <f t="shared" si="726"/>
        <v>709527</v>
      </c>
      <c r="I1342" s="4">
        <f t="shared" si="726"/>
        <v>0</v>
      </c>
      <c r="J1342" s="4">
        <f t="shared" si="726"/>
        <v>849613.09999999986</v>
      </c>
      <c r="K1342" s="4">
        <f t="shared" si="726"/>
        <v>0</v>
      </c>
      <c r="L1342" s="17">
        <f t="shared" si="726"/>
        <v>0</v>
      </c>
      <c r="M1342" s="4">
        <f t="shared" si="726"/>
        <v>0</v>
      </c>
      <c r="N1342" s="4">
        <f t="shared" si="726"/>
        <v>0</v>
      </c>
      <c r="O1342" s="4">
        <f t="shared" si="726"/>
        <v>0</v>
      </c>
      <c r="P1342" s="4">
        <f t="shared" si="726"/>
        <v>0</v>
      </c>
      <c r="Q1342" s="4">
        <f t="shared" si="726"/>
        <v>0</v>
      </c>
      <c r="R1342" s="4">
        <f t="shared" si="726"/>
        <v>0</v>
      </c>
      <c r="S1342" s="4">
        <f t="shared" si="726"/>
        <v>0</v>
      </c>
      <c r="T1342" s="4">
        <f t="shared" si="726"/>
        <v>0</v>
      </c>
      <c r="U1342" s="4">
        <f t="shared" si="726"/>
        <v>200000</v>
      </c>
      <c r="V1342" s="4">
        <f t="shared" si="726"/>
        <v>0</v>
      </c>
      <c r="W1342" s="4">
        <f t="shared" si="726"/>
        <v>0</v>
      </c>
      <c r="X1342" s="4">
        <f t="shared" si="726"/>
        <v>0</v>
      </c>
      <c r="Y1342" s="4">
        <f t="shared" si="726"/>
        <v>0</v>
      </c>
      <c r="Z1342" s="4">
        <f t="shared" si="726"/>
        <v>0</v>
      </c>
      <c r="AA1342" s="4">
        <f t="shared" si="726"/>
        <v>0</v>
      </c>
      <c r="AB1342" s="4">
        <f t="shared" si="726"/>
        <v>0</v>
      </c>
      <c r="AC1342" s="4">
        <f t="shared" si="726"/>
        <v>0</v>
      </c>
      <c r="AD1342" s="4">
        <f t="shared" si="726"/>
        <v>0</v>
      </c>
    </row>
    <row r="1343" spans="1:30" s="20" customFormat="1" ht="36" customHeight="1" x14ac:dyDescent="0.25">
      <c r="A1343" s="2">
        <f>ROW()-ROW($A$11)-34</f>
        <v>1298</v>
      </c>
      <c r="B1343" s="6">
        <f>A1343</f>
        <v>1298</v>
      </c>
      <c r="C1343" s="24" t="s">
        <v>1631</v>
      </c>
      <c r="D1343" s="4">
        <f>E1343+M1343+O1343+Q1343+S1343+T1343+U1343+V1343+W1343+X1343+Z1343+AA1343+AB1343+AC1343+AD1343</f>
        <v>1263141.7999999998</v>
      </c>
      <c r="E1343" s="1">
        <f>SUM(F1343:K1343)</f>
        <v>1213141.7999999998</v>
      </c>
      <c r="F1343" s="1">
        <f>804*361.7</f>
        <v>290806.8</v>
      </c>
      <c r="G1343" s="1">
        <f>1693*361.7</f>
        <v>612358.1</v>
      </c>
      <c r="H1343" s="1">
        <f>390*361.7</f>
        <v>141063</v>
      </c>
      <c r="I1343" s="1">
        <v>0</v>
      </c>
      <c r="J1343" s="1">
        <f>467*361.7</f>
        <v>168913.9</v>
      </c>
      <c r="K1343" s="1">
        <v>0</v>
      </c>
      <c r="L1343" s="2">
        <v>0</v>
      </c>
      <c r="M1343" s="1">
        <v>0</v>
      </c>
      <c r="N1343" s="1">
        <v>0</v>
      </c>
      <c r="O1343" s="1">
        <v>0</v>
      </c>
      <c r="P1343" s="1">
        <v>0</v>
      </c>
      <c r="Q1343" s="1">
        <v>0</v>
      </c>
      <c r="R1343" s="1">
        <v>0</v>
      </c>
      <c r="S1343" s="1">
        <v>0</v>
      </c>
      <c r="T1343" s="1">
        <v>0</v>
      </c>
      <c r="U1343" s="1">
        <v>50000</v>
      </c>
      <c r="V1343" s="1">
        <v>0</v>
      </c>
      <c r="W1343" s="1">
        <v>0</v>
      </c>
      <c r="X1343" s="1">
        <v>0</v>
      </c>
      <c r="Y1343" s="1">
        <v>0</v>
      </c>
      <c r="Z1343" s="1">
        <v>0</v>
      </c>
      <c r="AA1343" s="1">
        <v>0</v>
      </c>
      <c r="AB1343" s="1">
        <v>0</v>
      </c>
      <c r="AC1343" s="1">
        <v>0</v>
      </c>
      <c r="AD1343" s="1">
        <v>0</v>
      </c>
    </row>
    <row r="1344" spans="1:30" s="21" customFormat="1" ht="35.1" customHeight="1" x14ac:dyDescent="0.25">
      <c r="A1344" s="2">
        <f t="shared" ref="A1344:A1346" si="727">ROW()-ROW($A$11)-34</f>
        <v>1299</v>
      </c>
      <c r="B1344" s="6">
        <f>A1344</f>
        <v>1299</v>
      </c>
      <c r="C1344" s="19" t="s">
        <v>1657</v>
      </c>
      <c r="D1344" s="4">
        <f>E1344+M1344+O1344+Q1344+S1344+T1344+U1344+V1344+W1344+X1344+Z1344+AA1344+AB1344+AC1344+AD1344</f>
        <v>750443.7</v>
      </c>
      <c r="E1344" s="1">
        <f>SUM(F1344:K1344)</f>
        <v>700443.7</v>
      </c>
      <c r="F1344" s="1">
        <f>804*421.7</f>
        <v>339046.8</v>
      </c>
      <c r="G1344" s="1">
        <v>0</v>
      </c>
      <c r="H1344" s="1">
        <f>390*421.7</f>
        <v>164463</v>
      </c>
      <c r="I1344" s="1">
        <v>0</v>
      </c>
      <c r="J1344" s="1">
        <f>467*421.7</f>
        <v>196933.9</v>
      </c>
      <c r="K1344" s="1">
        <v>0</v>
      </c>
      <c r="L1344" s="2">
        <v>0</v>
      </c>
      <c r="M1344" s="1">
        <v>0</v>
      </c>
      <c r="N1344" s="1">
        <v>0</v>
      </c>
      <c r="O1344" s="1">
        <v>0</v>
      </c>
      <c r="P1344" s="1">
        <v>0</v>
      </c>
      <c r="Q1344" s="1">
        <v>0</v>
      </c>
      <c r="R1344" s="1">
        <v>0</v>
      </c>
      <c r="S1344" s="1">
        <v>0</v>
      </c>
      <c r="T1344" s="1">
        <v>0</v>
      </c>
      <c r="U1344" s="1">
        <v>50000</v>
      </c>
      <c r="V1344" s="1">
        <v>0</v>
      </c>
      <c r="W1344" s="1">
        <v>0</v>
      </c>
      <c r="X1344" s="1">
        <v>0</v>
      </c>
      <c r="Y1344" s="1">
        <v>0</v>
      </c>
      <c r="Z1344" s="1">
        <v>0</v>
      </c>
      <c r="AA1344" s="1">
        <v>0</v>
      </c>
      <c r="AB1344" s="1">
        <v>0</v>
      </c>
      <c r="AC1344" s="1">
        <v>0</v>
      </c>
      <c r="AD1344" s="1">
        <v>0</v>
      </c>
    </row>
    <row r="1345" spans="1:30" s="21" customFormat="1" ht="35.1" customHeight="1" x14ac:dyDescent="0.25">
      <c r="A1345" s="2">
        <f t="shared" si="727"/>
        <v>1300</v>
      </c>
      <c r="B1345" s="6">
        <f>A1345</f>
        <v>1300</v>
      </c>
      <c r="C1345" s="19" t="s">
        <v>2503</v>
      </c>
      <c r="D1345" s="4">
        <f>E1345+M1345+O1345+Q1345+S1345+T1345+U1345+V1345+W1345+X1345+Z1345+AA1345+AB1345+AC1345+AD1345</f>
        <v>1077826.7999999998</v>
      </c>
      <c r="E1345" s="1">
        <f>SUM(F1345:K1345)</f>
        <v>1027826.7999999999</v>
      </c>
      <c r="F1345" s="1">
        <f>804*618.8</f>
        <v>497515.19999999995</v>
      </c>
      <c r="G1345" s="1">
        <v>0</v>
      </c>
      <c r="H1345" s="1">
        <f>390*618.8</f>
        <v>241331.99999999997</v>
      </c>
      <c r="I1345" s="1">
        <v>0</v>
      </c>
      <c r="J1345" s="1">
        <f>467*618.8</f>
        <v>288979.59999999998</v>
      </c>
      <c r="K1345" s="1">
        <v>0</v>
      </c>
      <c r="L1345" s="2">
        <v>0</v>
      </c>
      <c r="M1345" s="1">
        <v>0</v>
      </c>
      <c r="N1345" s="1">
        <v>0</v>
      </c>
      <c r="O1345" s="1">
        <v>0</v>
      </c>
      <c r="P1345" s="1">
        <v>0</v>
      </c>
      <c r="Q1345" s="1">
        <v>0</v>
      </c>
      <c r="R1345" s="1">
        <v>0</v>
      </c>
      <c r="S1345" s="1">
        <v>0</v>
      </c>
      <c r="T1345" s="1">
        <v>0</v>
      </c>
      <c r="U1345" s="1">
        <v>50000</v>
      </c>
      <c r="V1345" s="1">
        <v>0</v>
      </c>
      <c r="W1345" s="1">
        <v>0</v>
      </c>
      <c r="X1345" s="1">
        <v>0</v>
      </c>
      <c r="Y1345" s="1">
        <v>0</v>
      </c>
      <c r="Z1345" s="1">
        <v>0</v>
      </c>
      <c r="AA1345" s="1">
        <v>0</v>
      </c>
      <c r="AB1345" s="1">
        <v>0</v>
      </c>
      <c r="AC1345" s="1">
        <v>0</v>
      </c>
      <c r="AD1345" s="1">
        <v>0</v>
      </c>
    </row>
    <row r="1346" spans="1:30" s="21" customFormat="1" ht="35.1" customHeight="1" x14ac:dyDescent="0.25">
      <c r="A1346" s="2">
        <f t="shared" si="727"/>
        <v>1301</v>
      </c>
      <c r="B1346" s="6">
        <f>A1346</f>
        <v>1301</v>
      </c>
      <c r="C1346" s="19" t="s">
        <v>2504</v>
      </c>
      <c r="D1346" s="4">
        <f>E1346+M1346+O1346+Q1346+S1346+T1346+U1346+V1346+W1346+X1346+Z1346+AA1346+AB1346+AC1346+AD1346</f>
        <v>742803.10000000009</v>
      </c>
      <c r="E1346" s="1">
        <f>SUM(F1346:K1346)</f>
        <v>692803.10000000009</v>
      </c>
      <c r="F1346" s="1">
        <f>804*417.1</f>
        <v>335348.40000000002</v>
      </c>
      <c r="G1346" s="1">
        <v>0</v>
      </c>
      <c r="H1346" s="1">
        <f>390*417.1</f>
        <v>162669</v>
      </c>
      <c r="I1346" s="1">
        <v>0</v>
      </c>
      <c r="J1346" s="1">
        <f>467*417.1</f>
        <v>194785.7</v>
      </c>
      <c r="K1346" s="1">
        <v>0</v>
      </c>
      <c r="L1346" s="2">
        <v>0</v>
      </c>
      <c r="M1346" s="1">
        <v>0</v>
      </c>
      <c r="N1346" s="1">
        <v>0</v>
      </c>
      <c r="O1346" s="1">
        <v>0</v>
      </c>
      <c r="P1346" s="1">
        <v>0</v>
      </c>
      <c r="Q1346" s="1">
        <v>0</v>
      </c>
      <c r="R1346" s="1">
        <v>0</v>
      </c>
      <c r="S1346" s="1">
        <f>R1346*3751</f>
        <v>0</v>
      </c>
      <c r="T1346" s="1">
        <v>0</v>
      </c>
      <c r="U1346" s="1">
        <v>50000</v>
      </c>
      <c r="V1346" s="1">
        <v>0</v>
      </c>
      <c r="W1346" s="1">
        <v>0</v>
      </c>
      <c r="X1346" s="1">
        <v>0</v>
      </c>
      <c r="Y1346" s="1">
        <v>0</v>
      </c>
      <c r="Z1346" s="1">
        <v>0</v>
      </c>
      <c r="AA1346" s="1">
        <v>0</v>
      </c>
      <c r="AB1346" s="1">
        <v>0</v>
      </c>
      <c r="AC1346" s="1">
        <v>0</v>
      </c>
      <c r="AD1346" s="1">
        <v>0</v>
      </c>
    </row>
    <row r="1347" spans="1:30" s="20" customFormat="1" ht="54.95" customHeight="1" x14ac:dyDescent="0.25">
      <c r="A1347" s="3"/>
      <c r="B1347" s="47" t="s">
        <v>1973</v>
      </c>
      <c r="C1347" s="48"/>
      <c r="D1347" s="4">
        <f>SUM(D1348:D1359)</f>
        <v>81003406.399999991</v>
      </c>
      <c r="E1347" s="4">
        <f t="shared" ref="E1347:AD1347" si="728">SUM(E1348:E1359)</f>
        <v>22021023.600000001</v>
      </c>
      <c r="F1347" s="4">
        <f t="shared" si="728"/>
        <v>4445959.1999999993</v>
      </c>
      <c r="G1347" s="4">
        <f t="shared" si="728"/>
        <v>10048632.200000001</v>
      </c>
      <c r="H1347" s="4">
        <f t="shared" si="728"/>
        <v>2156622</v>
      </c>
      <c r="I1347" s="4">
        <f t="shared" si="728"/>
        <v>2787393.6</v>
      </c>
      <c r="J1347" s="4">
        <f t="shared" si="728"/>
        <v>2582416.6</v>
      </c>
      <c r="K1347" s="4">
        <f t="shared" si="728"/>
        <v>0</v>
      </c>
      <c r="L1347" s="17">
        <f t="shared" si="728"/>
        <v>0</v>
      </c>
      <c r="M1347" s="4">
        <f t="shared" si="728"/>
        <v>0</v>
      </c>
      <c r="N1347" s="4">
        <f t="shared" si="728"/>
        <v>4882.8</v>
      </c>
      <c r="O1347" s="4">
        <f t="shared" si="728"/>
        <v>37841700</v>
      </c>
      <c r="P1347" s="4">
        <f t="shared" si="728"/>
        <v>500</v>
      </c>
      <c r="Q1347" s="4">
        <f t="shared" si="728"/>
        <v>700000</v>
      </c>
      <c r="R1347" s="4">
        <f t="shared" si="728"/>
        <v>5182.8</v>
      </c>
      <c r="S1347" s="4">
        <f t="shared" si="728"/>
        <v>19440682.800000001</v>
      </c>
      <c r="T1347" s="4">
        <f t="shared" si="728"/>
        <v>0</v>
      </c>
      <c r="U1347" s="4">
        <f t="shared" si="728"/>
        <v>550000</v>
      </c>
      <c r="V1347" s="4">
        <f t="shared" si="728"/>
        <v>0</v>
      </c>
      <c r="W1347" s="4">
        <f t="shared" si="728"/>
        <v>450000</v>
      </c>
      <c r="X1347" s="4">
        <f t="shared" si="728"/>
        <v>0</v>
      </c>
      <c r="Y1347" s="4">
        <f t="shared" si="728"/>
        <v>0</v>
      </c>
      <c r="Z1347" s="4">
        <f t="shared" si="728"/>
        <v>0</v>
      </c>
      <c r="AA1347" s="4">
        <f t="shared" si="728"/>
        <v>0</v>
      </c>
      <c r="AB1347" s="4">
        <f t="shared" si="728"/>
        <v>0</v>
      </c>
      <c r="AC1347" s="4">
        <f t="shared" si="728"/>
        <v>0</v>
      </c>
      <c r="AD1347" s="4">
        <f t="shared" si="728"/>
        <v>0</v>
      </c>
    </row>
    <row r="1348" spans="1:30" s="20" customFormat="1" ht="36" customHeight="1" x14ac:dyDescent="0.25">
      <c r="A1348" s="2">
        <f>ROW()-ROW($A$11)-35</f>
        <v>1302</v>
      </c>
      <c r="B1348" s="6">
        <f>A1348</f>
        <v>1302</v>
      </c>
      <c r="C1348" s="24" t="s">
        <v>709</v>
      </c>
      <c r="D1348" s="4">
        <f t="shared" ref="D1348:D1359" si="729">E1348+M1348+O1348+Q1348+S1348+T1348+U1348+V1348+W1348+X1348+Z1348+AA1348+AB1348+AC1348+AD1348</f>
        <v>8737600.4000000004</v>
      </c>
      <c r="E1348" s="1">
        <f>SUM(F1348:K1348)</f>
        <v>2179944.9999999995</v>
      </c>
      <c r="F1348" s="1">
        <f>804*555.4</f>
        <v>446541.6</v>
      </c>
      <c r="G1348" s="1">
        <f>1693*555.4</f>
        <v>940292.2</v>
      </c>
      <c r="H1348" s="1">
        <f>390*555.4</f>
        <v>216606</v>
      </c>
      <c r="I1348" s="1">
        <f>571*555.4</f>
        <v>317133.39999999997</v>
      </c>
      <c r="J1348" s="1">
        <f>467*555.4</f>
        <v>259371.8</v>
      </c>
      <c r="K1348" s="1">
        <v>0</v>
      </c>
      <c r="L1348" s="2">
        <v>0</v>
      </c>
      <c r="M1348" s="1">
        <v>0</v>
      </c>
      <c r="N1348" s="1">
        <v>555.4</v>
      </c>
      <c r="O1348" s="1">
        <f t="shared" ref="O1348:O1353" si="730">N1348*7750</f>
        <v>4304350</v>
      </c>
      <c r="P1348" s="1">
        <v>50</v>
      </c>
      <c r="Q1348" s="1">
        <f>P1348*1400</f>
        <v>70000</v>
      </c>
      <c r="R1348" s="1">
        <v>555.4</v>
      </c>
      <c r="S1348" s="1">
        <f>R1348*3751</f>
        <v>2083305.4</v>
      </c>
      <c r="T1348" s="1">
        <v>0</v>
      </c>
      <c r="U1348" s="1">
        <v>50000</v>
      </c>
      <c r="V1348" s="1">
        <v>0</v>
      </c>
      <c r="W1348" s="1">
        <v>50000</v>
      </c>
      <c r="X1348" s="1">
        <v>0</v>
      </c>
      <c r="Y1348" s="1">
        <v>0</v>
      </c>
      <c r="Z1348" s="1">
        <v>0</v>
      </c>
      <c r="AA1348" s="1">
        <v>0</v>
      </c>
      <c r="AB1348" s="1">
        <v>0</v>
      </c>
      <c r="AC1348" s="1">
        <v>0</v>
      </c>
      <c r="AD1348" s="1">
        <v>0</v>
      </c>
    </row>
    <row r="1349" spans="1:30" s="20" customFormat="1" ht="36" customHeight="1" x14ac:dyDescent="0.25">
      <c r="A1349" s="2">
        <f t="shared" ref="A1349:A1359" si="731">ROW()-ROW($A$11)-35</f>
        <v>1303</v>
      </c>
      <c r="B1349" s="6">
        <f t="shared" ref="B1349:B1353" si="732">A1349</f>
        <v>1303</v>
      </c>
      <c r="C1349" s="24" t="s">
        <v>712</v>
      </c>
      <c r="D1349" s="4">
        <f t="shared" si="729"/>
        <v>7835152</v>
      </c>
      <c r="E1349" s="1">
        <f t="shared" ref="E1349:E1359" si="733">SUM(F1349:K1349)</f>
        <v>1949155.0000000002</v>
      </c>
      <c r="F1349" s="1">
        <f>804*496.6</f>
        <v>399266.4</v>
      </c>
      <c r="G1349" s="1">
        <f>1693*496.6</f>
        <v>840743.8</v>
      </c>
      <c r="H1349" s="1">
        <f>390*496.6</f>
        <v>193674</v>
      </c>
      <c r="I1349" s="1">
        <f>571*496.6</f>
        <v>283558.60000000003</v>
      </c>
      <c r="J1349" s="1">
        <f>467*496.6</f>
        <v>231912.2</v>
      </c>
      <c r="K1349" s="1">
        <v>0</v>
      </c>
      <c r="L1349" s="2">
        <v>0</v>
      </c>
      <c r="M1349" s="1">
        <v>0</v>
      </c>
      <c r="N1349" s="1">
        <v>497</v>
      </c>
      <c r="O1349" s="1">
        <f t="shared" si="730"/>
        <v>3851750</v>
      </c>
      <c r="P1349" s="1">
        <v>50</v>
      </c>
      <c r="Q1349" s="1">
        <f t="shared" ref="Q1349:Q1353" si="734">P1349*1400</f>
        <v>70000</v>
      </c>
      <c r="R1349" s="1">
        <v>497</v>
      </c>
      <c r="S1349" s="1">
        <f t="shared" ref="S1349:S1353" si="735">R1349*3751</f>
        <v>1864247</v>
      </c>
      <c r="T1349" s="1">
        <v>0</v>
      </c>
      <c r="U1349" s="1">
        <v>50000</v>
      </c>
      <c r="V1349" s="1">
        <v>0</v>
      </c>
      <c r="W1349" s="1">
        <v>50000</v>
      </c>
      <c r="X1349" s="1">
        <v>0</v>
      </c>
      <c r="Y1349" s="1">
        <v>0</v>
      </c>
      <c r="Z1349" s="1">
        <v>0</v>
      </c>
      <c r="AA1349" s="1">
        <v>0</v>
      </c>
      <c r="AB1349" s="1">
        <v>0</v>
      </c>
      <c r="AC1349" s="1">
        <v>0</v>
      </c>
      <c r="AD1349" s="1">
        <v>0</v>
      </c>
    </row>
    <row r="1350" spans="1:30" s="20" customFormat="1" ht="36" customHeight="1" x14ac:dyDescent="0.25">
      <c r="A1350" s="2">
        <f t="shared" si="731"/>
        <v>1304</v>
      </c>
      <c r="B1350" s="6">
        <f t="shared" si="732"/>
        <v>1304</v>
      </c>
      <c r="C1350" s="24" t="s">
        <v>713</v>
      </c>
      <c r="D1350" s="4">
        <f t="shared" si="729"/>
        <v>7788874</v>
      </c>
      <c r="E1350" s="1">
        <f t="shared" si="733"/>
        <v>1937380.0000000002</v>
      </c>
      <c r="F1350" s="1">
        <f>804*493.6</f>
        <v>396854.4</v>
      </c>
      <c r="G1350" s="1">
        <f>1693*493.6</f>
        <v>835664.8</v>
      </c>
      <c r="H1350" s="1">
        <f>390*493.6</f>
        <v>192504</v>
      </c>
      <c r="I1350" s="1">
        <f>571*493.6</f>
        <v>281845.60000000003</v>
      </c>
      <c r="J1350" s="1">
        <f>467*493.6</f>
        <v>230511.2</v>
      </c>
      <c r="K1350" s="1">
        <v>0</v>
      </c>
      <c r="L1350" s="2">
        <v>0</v>
      </c>
      <c r="M1350" s="1">
        <v>0</v>
      </c>
      <c r="N1350" s="1">
        <v>494</v>
      </c>
      <c r="O1350" s="1">
        <f t="shared" si="730"/>
        <v>3828500</v>
      </c>
      <c r="P1350" s="1">
        <v>50</v>
      </c>
      <c r="Q1350" s="1">
        <f t="shared" si="734"/>
        <v>70000</v>
      </c>
      <c r="R1350" s="1">
        <v>494</v>
      </c>
      <c r="S1350" s="1">
        <f t="shared" si="735"/>
        <v>1852994</v>
      </c>
      <c r="T1350" s="1">
        <v>0</v>
      </c>
      <c r="U1350" s="1">
        <v>50000</v>
      </c>
      <c r="V1350" s="1">
        <v>0</v>
      </c>
      <c r="W1350" s="1">
        <v>50000</v>
      </c>
      <c r="X1350" s="1">
        <v>0</v>
      </c>
      <c r="Y1350" s="1">
        <v>0</v>
      </c>
      <c r="Z1350" s="1">
        <v>0</v>
      </c>
      <c r="AA1350" s="1">
        <v>0</v>
      </c>
      <c r="AB1350" s="1">
        <v>0</v>
      </c>
      <c r="AC1350" s="1">
        <v>0</v>
      </c>
      <c r="AD1350" s="1">
        <v>0</v>
      </c>
    </row>
    <row r="1351" spans="1:30" s="20" customFormat="1" ht="36" customHeight="1" x14ac:dyDescent="0.25">
      <c r="A1351" s="2">
        <f t="shared" si="731"/>
        <v>1305</v>
      </c>
      <c r="B1351" s="6">
        <f t="shared" si="732"/>
        <v>1305</v>
      </c>
      <c r="C1351" s="24" t="s">
        <v>714</v>
      </c>
      <c r="D1351" s="4">
        <f t="shared" si="729"/>
        <v>7787304</v>
      </c>
      <c r="E1351" s="1">
        <f t="shared" si="733"/>
        <v>1935809.9999999998</v>
      </c>
      <c r="F1351" s="1">
        <f>804*493.2</f>
        <v>396532.8</v>
      </c>
      <c r="G1351" s="1">
        <f>1693*493.2</f>
        <v>834987.6</v>
      </c>
      <c r="H1351" s="1">
        <f>390*493.2</f>
        <v>192348</v>
      </c>
      <c r="I1351" s="1">
        <f>571*493.2</f>
        <v>281617.2</v>
      </c>
      <c r="J1351" s="1">
        <f>467*493.2</f>
        <v>230324.4</v>
      </c>
      <c r="K1351" s="1">
        <v>0</v>
      </c>
      <c r="L1351" s="2">
        <v>0</v>
      </c>
      <c r="M1351" s="1">
        <v>0</v>
      </c>
      <c r="N1351" s="1">
        <v>494</v>
      </c>
      <c r="O1351" s="1">
        <f t="shared" si="730"/>
        <v>3828500</v>
      </c>
      <c r="P1351" s="1">
        <v>50</v>
      </c>
      <c r="Q1351" s="1">
        <f t="shared" si="734"/>
        <v>70000</v>
      </c>
      <c r="R1351" s="1">
        <v>494</v>
      </c>
      <c r="S1351" s="1">
        <f t="shared" si="735"/>
        <v>1852994</v>
      </c>
      <c r="T1351" s="1">
        <v>0</v>
      </c>
      <c r="U1351" s="1">
        <v>50000</v>
      </c>
      <c r="V1351" s="1">
        <v>0</v>
      </c>
      <c r="W1351" s="1">
        <v>50000</v>
      </c>
      <c r="X1351" s="1">
        <v>0</v>
      </c>
      <c r="Y1351" s="1">
        <v>0</v>
      </c>
      <c r="Z1351" s="1">
        <v>0</v>
      </c>
      <c r="AA1351" s="1">
        <v>0</v>
      </c>
      <c r="AB1351" s="1">
        <v>0</v>
      </c>
      <c r="AC1351" s="1">
        <v>0</v>
      </c>
      <c r="AD1351" s="1">
        <v>0</v>
      </c>
    </row>
    <row r="1352" spans="1:30" s="20" customFormat="1" ht="36" customHeight="1" x14ac:dyDescent="0.25">
      <c r="A1352" s="2">
        <f t="shared" si="731"/>
        <v>1306</v>
      </c>
      <c r="B1352" s="6">
        <f t="shared" si="732"/>
        <v>1306</v>
      </c>
      <c r="C1352" s="24" t="s">
        <v>715</v>
      </c>
      <c r="D1352" s="4">
        <f t="shared" si="729"/>
        <v>8160668</v>
      </c>
      <c r="E1352" s="1">
        <f t="shared" si="733"/>
        <v>2033150</v>
      </c>
      <c r="F1352" s="1">
        <f>804*518</f>
        <v>416472</v>
      </c>
      <c r="G1352" s="1">
        <f>1693*518</f>
        <v>876974</v>
      </c>
      <c r="H1352" s="1">
        <f>390*518</f>
        <v>202020</v>
      </c>
      <c r="I1352" s="1">
        <f>571*518</f>
        <v>295778</v>
      </c>
      <c r="J1352" s="1">
        <f>467*518</f>
        <v>241906</v>
      </c>
      <c r="K1352" s="1">
        <v>0</v>
      </c>
      <c r="L1352" s="2">
        <v>0</v>
      </c>
      <c r="M1352" s="1">
        <v>0</v>
      </c>
      <c r="N1352" s="1">
        <v>518</v>
      </c>
      <c r="O1352" s="1">
        <f t="shared" si="730"/>
        <v>4014500</v>
      </c>
      <c r="P1352" s="1">
        <v>50</v>
      </c>
      <c r="Q1352" s="1">
        <f t="shared" si="734"/>
        <v>70000</v>
      </c>
      <c r="R1352" s="1">
        <v>518</v>
      </c>
      <c r="S1352" s="1">
        <f t="shared" si="735"/>
        <v>1943018</v>
      </c>
      <c r="T1352" s="1">
        <v>0</v>
      </c>
      <c r="U1352" s="1">
        <v>50000</v>
      </c>
      <c r="V1352" s="1">
        <v>0</v>
      </c>
      <c r="W1352" s="1">
        <v>50000</v>
      </c>
      <c r="X1352" s="1">
        <v>0</v>
      </c>
      <c r="Y1352" s="1">
        <v>0</v>
      </c>
      <c r="Z1352" s="1">
        <v>0</v>
      </c>
      <c r="AA1352" s="1">
        <v>0</v>
      </c>
      <c r="AB1352" s="1">
        <v>0</v>
      </c>
      <c r="AC1352" s="1">
        <v>0</v>
      </c>
      <c r="AD1352" s="1">
        <v>0</v>
      </c>
    </row>
    <row r="1353" spans="1:30" s="20" customFormat="1" ht="36" customHeight="1" x14ac:dyDescent="0.25">
      <c r="A1353" s="2">
        <f t="shared" si="731"/>
        <v>1307</v>
      </c>
      <c r="B1353" s="6">
        <f t="shared" si="732"/>
        <v>1307</v>
      </c>
      <c r="C1353" s="24" t="s">
        <v>716</v>
      </c>
      <c r="D1353" s="4">
        <f t="shared" si="729"/>
        <v>7792014</v>
      </c>
      <c r="E1353" s="1">
        <f t="shared" si="733"/>
        <v>1940519.9999999998</v>
      </c>
      <c r="F1353" s="1">
        <f>804*494.4</f>
        <v>397497.59999999998</v>
      </c>
      <c r="G1353" s="1">
        <f>1693*494.4</f>
        <v>837019.2</v>
      </c>
      <c r="H1353" s="1">
        <f>390*494.4</f>
        <v>192816</v>
      </c>
      <c r="I1353" s="1">
        <f>571*494.4</f>
        <v>282302.39999999997</v>
      </c>
      <c r="J1353" s="1">
        <f>467*494.4</f>
        <v>230884.8</v>
      </c>
      <c r="K1353" s="1">
        <v>0</v>
      </c>
      <c r="L1353" s="2">
        <v>0</v>
      </c>
      <c r="M1353" s="1">
        <v>0</v>
      </c>
      <c r="N1353" s="1">
        <v>494</v>
      </c>
      <c r="O1353" s="1">
        <f t="shared" si="730"/>
        <v>3828500</v>
      </c>
      <c r="P1353" s="1">
        <v>50</v>
      </c>
      <c r="Q1353" s="1">
        <f t="shared" si="734"/>
        <v>70000</v>
      </c>
      <c r="R1353" s="1">
        <v>494</v>
      </c>
      <c r="S1353" s="1">
        <f t="shared" si="735"/>
        <v>1852994</v>
      </c>
      <c r="T1353" s="1">
        <v>0</v>
      </c>
      <c r="U1353" s="1">
        <v>50000</v>
      </c>
      <c r="V1353" s="1">
        <v>0</v>
      </c>
      <c r="W1353" s="1">
        <v>50000</v>
      </c>
      <c r="X1353" s="1">
        <v>0</v>
      </c>
      <c r="Y1353" s="1">
        <v>0</v>
      </c>
      <c r="Z1353" s="1">
        <v>0</v>
      </c>
      <c r="AA1353" s="1">
        <v>0</v>
      </c>
      <c r="AB1353" s="1">
        <v>0</v>
      </c>
      <c r="AC1353" s="1">
        <v>0</v>
      </c>
      <c r="AD1353" s="1">
        <v>0</v>
      </c>
    </row>
    <row r="1354" spans="1:30" s="20" customFormat="1" ht="36" customHeight="1" x14ac:dyDescent="0.25">
      <c r="A1354" s="2">
        <f t="shared" si="731"/>
        <v>1308</v>
      </c>
      <c r="B1354" s="6">
        <f t="shared" ref="B1354:B1359" si="736">A1354</f>
        <v>1308</v>
      </c>
      <c r="C1354" s="24" t="s">
        <v>710</v>
      </c>
      <c r="D1354" s="4">
        <f t="shared" si="729"/>
        <v>11017563.199999999</v>
      </c>
      <c r="E1354" s="1">
        <f>SUM(F1354:K1354)</f>
        <v>2760060</v>
      </c>
      <c r="F1354" s="1">
        <f>804*703.2</f>
        <v>565372.80000000005</v>
      </c>
      <c r="G1354" s="1">
        <f>1693*703.2</f>
        <v>1190517.6000000001</v>
      </c>
      <c r="H1354" s="1">
        <f>390*703.2</f>
        <v>274248</v>
      </c>
      <c r="I1354" s="1">
        <f>571*703.2</f>
        <v>401527.2</v>
      </c>
      <c r="J1354" s="1">
        <f>467*703.2</f>
        <v>328394.40000000002</v>
      </c>
      <c r="K1354" s="1">
        <v>0</v>
      </c>
      <c r="L1354" s="2">
        <v>0</v>
      </c>
      <c r="M1354" s="1">
        <v>0</v>
      </c>
      <c r="N1354" s="1">
        <v>703.2</v>
      </c>
      <c r="O1354" s="1">
        <f>N1354*7750</f>
        <v>5449800</v>
      </c>
      <c r="P1354" s="1">
        <v>50</v>
      </c>
      <c r="Q1354" s="1">
        <f t="shared" ref="Q1354:Q1359" si="737">P1354*1400</f>
        <v>70000</v>
      </c>
      <c r="R1354" s="1">
        <v>703.2</v>
      </c>
      <c r="S1354" s="1">
        <f>R1354*3751</f>
        <v>2637703.2000000002</v>
      </c>
      <c r="T1354" s="1">
        <v>0</v>
      </c>
      <c r="U1354" s="1">
        <v>50000</v>
      </c>
      <c r="V1354" s="1">
        <v>0</v>
      </c>
      <c r="W1354" s="1">
        <v>50000</v>
      </c>
      <c r="X1354" s="1">
        <v>0</v>
      </c>
      <c r="Y1354" s="1">
        <v>0</v>
      </c>
      <c r="Z1354" s="1">
        <v>0</v>
      </c>
      <c r="AA1354" s="1">
        <v>0</v>
      </c>
      <c r="AB1354" s="1">
        <v>0</v>
      </c>
      <c r="AC1354" s="1">
        <v>0</v>
      </c>
      <c r="AD1354" s="1">
        <v>0</v>
      </c>
    </row>
    <row r="1355" spans="1:30" s="20" customFormat="1" ht="36" customHeight="1" x14ac:dyDescent="0.25">
      <c r="A1355" s="2">
        <f t="shared" si="731"/>
        <v>1309</v>
      </c>
      <c r="B1355" s="6">
        <f t="shared" si="736"/>
        <v>1309</v>
      </c>
      <c r="C1355" s="24" t="s">
        <v>711</v>
      </c>
      <c r="D1355" s="4">
        <f t="shared" si="729"/>
        <v>9312990.1999999993</v>
      </c>
      <c r="E1355" s="1">
        <f>SUM(F1355:K1355)</f>
        <v>2326347.5</v>
      </c>
      <c r="F1355" s="1">
        <f>804*592.7</f>
        <v>476530.80000000005</v>
      </c>
      <c r="G1355" s="1">
        <f>1693*592.7</f>
        <v>1003441.1000000001</v>
      </c>
      <c r="H1355" s="1">
        <f>390*592.7</f>
        <v>231153.00000000003</v>
      </c>
      <c r="I1355" s="1">
        <f>571*592.7</f>
        <v>338431.7</v>
      </c>
      <c r="J1355" s="1">
        <f>467*592.7</f>
        <v>276790.90000000002</v>
      </c>
      <c r="K1355" s="1">
        <v>0</v>
      </c>
      <c r="L1355" s="2">
        <v>0</v>
      </c>
      <c r="M1355" s="1">
        <v>0</v>
      </c>
      <c r="N1355" s="1">
        <v>592.70000000000005</v>
      </c>
      <c r="O1355" s="1">
        <f>N1355*7750</f>
        <v>4593425</v>
      </c>
      <c r="P1355" s="1">
        <v>50</v>
      </c>
      <c r="Q1355" s="1">
        <f t="shared" si="737"/>
        <v>70000</v>
      </c>
      <c r="R1355" s="1">
        <v>592.70000000000005</v>
      </c>
      <c r="S1355" s="1">
        <f>R1355*3751</f>
        <v>2223217.7000000002</v>
      </c>
      <c r="T1355" s="1">
        <v>0</v>
      </c>
      <c r="U1355" s="1">
        <v>50000</v>
      </c>
      <c r="V1355" s="1">
        <v>0</v>
      </c>
      <c r="W1355" s="1">
        <v>50000</v>
      </c>
      <c r="X1355" s="1">
        <v>0</v>
      </c>
      <c r="Y1355" s="1">
        <v>0</v>
      </c>
      <c r="Z1355" s="1">
        <v>0</v>
      </c>
      <c r="AA1355" s="1">
        <v>0</v>
      </c>
      <c r="AB1355" s="1">
        <v>0</v>
      </c>
      <c r="AC1355" s="1">
        <v>0</v>
      </c>
      <c r="AD1355" s="1">
        <v>0</v>
      </c>
    </row>
    <row r="1356" spans="1:30" s="21" customFormat="1" ht="35.1" customHeight="1" x14ac:dyDescent="0.25">
      <c r="A1356" s="2">
        <f t="shared" si="731"/>
        <v>1310</v>
      </c>
      <c r="B1356" s="6">
        <f t="shared" si="736"/>
        <v>1310</v>
      </c>
      <c r="C1356" s="24" t="s">
        <v>1632</v>
      </c>
      <c r="D1356" s="4">
        <f t="shared" si="729"/>
        <v>2294062.8000000003</v>
      </c>
      <c r="E1356" s="1">
        <f t="shared" si="733"/>
        <v>2174062.8000000003</v>
      </c>
      <c r="F1356" s="7">
        <f>804*648.2</f>
        <v>521152.80000000005</v>
      </c>
      <c r="G1356" s="7">
        <f>1693*648.2</f>
        <v>1097402.6000000001</v>
      </c>
      <c r="H1356" s="7">
        <f>390*648.2</f>
        <v>252798.00000000003</v>
      </c>
      <c r="I1356" s="1">
        <v>0</v>
      </c>
      <c r="J1356" s="7">
        <f>467*648.2</f>
        <v>302709.40000000002</v>
      </c>
      <c r="K1356" s="1">
        <v>0</v>
      </c>
      <c r="L1356" s="2">
        <v>0</v>
      </c>
      <c r="M1356" s="1">
        <v>0</v>
      </c>
      <c r="N1356" s="1">
        <v>0</v>
      </c>
      <c r="O1356" s="1">
        <v>0</v>
      </c>
      <c r="P1356" s="1">
        <v>50</v>
      </c>
      <c r="Q1356" s="1">
        <f t="shared" si="737"/>
        <v>70000</v>
      </c>
      <c r="R1356" s="1">
        <v>0</v>
      </c>
      <c r="S1356" s="1">
        <v>0</v>
      </c>
      <c r="T1356" s="1">
        <v>0</v>
      </c>
      <c r="U1356" s="1">
        <v>50000</v>
      </c>
      <c r="V1356" s="1">
        <v>0</v>
      </c>
      <c r="W1356" s="1">
        <v>0</v>
      </c>
      <c r="X1356" s="1">
        <v>0</v>
      </c>
      <c r="Y1356" s="1">
        <v>0</v>
      </c>
      <c r="Z1356" s="1">
        <v>0</v>
      </c>
      <c r="AA1356" s="1">
        <v>0</v>
      </c>
      <c r="AB1356" s="1">
        <v>0</v>
      </c>
      <c r="AC1356" s="1">
        <v>0</v>
      </c>
      <c r="AD1356" s="1">
        <v>0</v>
      </c>
    </row>
    <row r="1357" spans="1:30" s="20" customFormat="1" ht="36" customHeight="1" x14ac:dyDescent="0.25">
      <c r="A1357" s="2">
        <f t="shared" si="731"/>
        <v>1311</v>
      </c>
      <c r="B1357" s="6">
        <f t="shared" si="736"/>
        <v>1311</v>
      </c>
      <c r="C1357" s="24" t="s">
        <v>717</v>
      </c>
      <c r="D1357" s="4">
        <f t="shared" si="729"/>
        <v>1125300</v>
      </c>
      <c r="E1357" s="1">
        <f>SUM(F1357:K1357)</f>
        <v>0</v>
      </c>
      <c r="F1357" s="1">
        <v>0</v>
      </c>
      <c r="G1357" s="1">
        <v>0</v>
      </c>
      <c r="H1357" s="1">
        <v>0</v>
      </c>
      <c r="I1357" s="1">
        <v>0</v>
      </c>
      <c r="J1357" s="1">
        <v>0</v>
      </c>
      <c r="K1357" s="1">
        <v>0</v>
      </c>
      <c r="L1357" s="2">
        <v>0</v>
      </c>
      <c r="M1357" s="1">
        <v>0</v>
      </c>
      <c r="N1357" s="1">
        <v>0</v>
      </c>
      <c r="O1357" s="1">
        <v>0</v>
      </c>
      <c r="P1357" s="1">
        <v>0</v>
      </c>
      <c r="Q1357" s="1">
        <f t="shared" si="737"/>
        <v>0</v>
      </c>
      <c r="R1357" s="1">
        <v>300</v>
      </c>
      <c r="S1357" s="1">
        <f>R1357*3751</f>
        <v>1125300</v>
      </c>
      <c r="T1357" s="1">
        <v>0</v>
      </c>
      <c r="U1357" s="1">
        <v>0</v>
      </c>
      <c r="V1357" s="1">
        <v>0</v>
      </c>
      <c r="W1357" s="1">
        <v>0</v>
      </c>
      <c r="X1357" s="1">
        <v>0</v>
      </c>
      <c r="Y1357" s="1">
        <v>0</v>
      </c>
      <c r="Z1357" s="1">
        <v>0</v>
      </c>
      <c r="AA1357" s="1">
        <v>0</v>
      </c>
      <c r="AB1357" s="1">
        <v>0</v>
      </c>
      <c r="AC1357" s="1">
        <v>0</v>
      </c>
      <c r="AD1357" s="1">
        <v>0</v>
      </c>
    </row>
    <row r="1358" spans="1:30" s="20" customFormat="1" ht="36" customHeight="1" x14ac:dyDescent="0.25">
      <c r="A1358" s="2">
        <f t="shared" si="731"/>
        <v>1312</v>
      </c>
      <c r="B1358" s="6">
        <f t="shared" si="736"/>
        <v>1312</v>
      </c>
      <c r="C1358" s="24" t="s">
        <v>718</v>
      </c>
      <c r="D1358" s="4">
        <f t="shared" si="729"/>
        <v>8415197</v>
      </c>
      <c r="E1358" s="1">
        <f>SUM(F1358:K1358)</f>
        <v>2097912.5</v>
      </c>
      <c r="F1358" s="1">
        <f>804*534.5</f>
        <v>429738</v>
      </c>
      <c r="G1358" s="1">
        <f>1693*534.5</f>
        <v>904908.5</v>
      </c>
      <c r="H1358" s="1">
        <f>390*534.5</f>
        <v>208455</v>
      </c>
      <c r="I1358" s="1">
        <f>571*534.5</f>
        <v>305199.5</v>
      </c>
      <c r="J1358" s="1">
        <f>467*534.5</f>
        <v>249611.5</v>
      </c>
      <c r="K1358" s="1">
        <v>0</v>
      </c>
      <c r="L1358" s="2">
        <v>0</v>
      </c>
      <c r="M1358" s="1">
        <v>0</v>
      </c>
      <c r="N1358" s="1">
        <v>534.5</v>
      </c>
      <c r="O1358" s="1">
        <f>N1358*7750</f>
        <v>4142375</v>
      </c>
      <c r="P1358" s="1">
        <v>50</v>
      </c>
      <c r="Q1358" s="1">
        <f t="shared" si="737"/>
        <v>70000</v>
      </c>
      <c r="R1358" s="1">
        <v>534.5</v>
      </c>
      <c r="S1358" s="1">
        <f>R1358*3751</f>
        <v>2004909.5</v>
      </c>
      <c r="T1358" s="1">
        <v>0</v>
      </c>
      <c r="U1358" s="1">
        <v>50000</v>
      </c>
      <c r="V1358" s="1">
        <v>0</v>
      </c>
      <c r="W1358" s="1">
        <v>50000</v>
      </c>
      <c r="X1358" s="1">
        <v>0</v>
      </c>
      <c r="Y1358" s="1">
        <v>0</v>
      </c>
      <c r="Z1358" s="1">
        <v>0</v>
      </c>
      <c r="AA1358" s="1">
        <v>0</v>
      </c>
      <c r="AB1358" s="1">
        <v>0</v>
      </c>
      <c r="AC1358" s="1">
        <v>0</v>
      </c>
      <c r="AD1358" s="1">
        <v>0</v>
      </c>
    </row>
    <row r="1359" spans="1:30" s="21" customFormat="1" ht="35.1" customHeight="1" x14ac:dyDescent="0.25">
      <c r="A1359" s="2">
        <f t="shared" si="731"/>
        <v>1313</v>
      </c>
      <c r="B1359" s="6">
        <f t="shared" si="736"/>
        <v>1313</v>
      </c>
      <c r="C1359" s="24" t="s">
        <v>95</v>
      </c>
      <c r="D1359" s="4">
        <f t="shared" si="729"/>
        <v>736680.8</v>
      </c>
      <c r="E1359" s="1">
        <f t="shared" si="733"/>
        <v>686680.8</v>
      </c>
      <c r="F1359" s="7">
        <v>0</v>
      </c>
      <c r="G1359" s="1">
        <f>1693*405.6</f>
        <v>686680.8</v>
      </c>
      <c r="H1359" s="1">
        <v>0</v>
      </c>
      <c r="I1359" s="1">
        <v>0</v>
      </c>
      <c r="J1359" s="1">
        <v>0</v>
      </c>
      <c r="K1359" s="1">
        <v>0</v>
      </c>
      <c r="L1359" s="2">
        <v>0</v>
      </c>
      <c r="M1359" s="1">
        <v>0</v>
      </c>
      <c r="N1359" s="1">
        <v>0</v>
      </c>
      <c r="O1359" s="1">
        <v>0</v>
      </c>
      <c r="P1359" s="1">
        <v>0</v>
      </c>
      <c r="Q1359" s="1">
        <f t="shared" si="737"/>
        <v>0</v>
      </c>
      <c r="R1359" s="1">
        <v>0</v>
      </c>
      <c r="S1359" s="1">
        <f>R1359*3751</f>
        <v>0</v>
      </c>
      <c r="T1359" s="1">
        <v>0</v>
      </c>
      <c r="U1359" s="1">
        <v>50000</v>
      </c>
      <c r="V1359" s="1">
        <v>0</v>
      </c>
      <c r="W1359" s="1">
        <v>0</v>
      </c>
      <c r="X1359" s="1">
        <v>0</v>
      </c>
      <c r="Y1359" s="1">
        <v>0</v>
      </c>
      <c r="Z1359" s="1">
        <v>0</v>
      </c>
      <c r="AA1359" s="1">
        <v>0</v>
      </c>
      <c r="AB1359" s="1">
        <v>0</v>
      </c>
      <c r="AC1359" s="1">
        <v>0</v>
      </c>
      <c r="AD1359" s="1">
        <v>0</v>
      </c>
    </row>
    <row r="1360" spans="1:30" s="20" customFormat="1" ht="54.95" customHeight="1" x14ac:dyDescent="0.25">
      <c r="A1360" s="3"/>
      <c r="B1360" s="47" t="s">
        <v>1974</v>
      </c>
      <c r="C1360" s="48"/>
      <c r="D1360" s="4">
        <f>SUM(D1361:D1362)</f>
        <v>11895130.65</v>
      </c>
      <c r="E1360" s="4">
        <f t="shared" ref="E1360:AD1360" si="738">SUM(E1361:E1362)</f>
        <v>692055.64999999991</v>
      </c>
      <c r="F1360" s="4">
        <f t="shared" si="738"/>
        <v>334986.59999999998</v>
      </c>
      <c r="G1360" s="4">
        <f t="shared" si="738"/>
        <v>0</v>
      </c>
      <c r="H1360" s="4">
        <f t="shared" si="738"/>
        <v>162493.5</v>
      </c>
      <c r="I1360" s="4">
        <f t="shared" si="738"/>
        <v>0</v>
      </c>
      <c r="J1360" s="4">
        <f t="shared" si="738"/>
        <v>194575.55</v>
      </c>
      <c r="K1360" s="4">
        <f t="shared" si="738"/>
        <v>0</v>
      </c>
      <c r="L1360" s="17">
        <f t="shared" si="738"/>
        <v>0</v>
      </c>
      <c r="M1360" s="4">
        <f t="shared" si="738"/>
        <v>0</v>
      </c>
      <c r="N1360" s="4">
        <f t="shared" si="738"/>
        <v>996.65</v>
      </c>
      <c r="O1360" s="4">
        <f t="shared" si="738"/>
        <v>7724037.5</v>
      </c>
      <c r="P1360" s="4">
        <f t="shared" si="738"/>
        <v>0</v>
      </c>
      <c r="Q1360" s="4">
        <f t="shared" si="738"/>
        <v>0</v>
      </c>
      <c r="R1360" s="4">
        <f t="shared" si="738"/>
        <v>416.65</v>
      </c>
      <c r="S1360" s="4">
        <f t="shared" si="738"/>
        <v>3229037.5</v>
      </c>
      <c r="T1360" s="4">
        <f t="shared" si="738"/>
        <v>150000</v>
      </c>
      <c r="U1360" s="4">
        <f t="shared" si="738"/>
        <v>50000</v>
      </c>
      <c r="V1360" s="4">
        <f t="shared" si="738"/>
        <v>0</v>
      </c>
      <c r="W1360" s="4">
        <f t="shared" si="738"/>
        <v>50000</v>
      </c>
      <c r="X1360" s="4">
        <f t="shared" si="738"/>
        <v>0</v>
      </c>
      <c r="Y1360" s="4">
        <f t="shared" si="738"/>
        <v>0</v>
      </c>
      <c r="Z1360" s="4">
        <f t="shared" si="738"/>
        <v>0</v>
      </c>
      <c r="AA1360" s="4">
        <f t="shared" si="738"/>
        <v>0</v>
      </c>
      <c r="AB1360" s="4">
        <f t="shared" si="738"/>
        <v>0</v>
      </c>
      <c r="AC1360" s="4">
        <f t="shared" si="738"/>
        <v>0</v>
      </c>
      <c r="AD1360" s="4">
        <f t="shared" si="738"/>
        <v>0</v>
      </c>
    </row>
    <row r="1361" spans="1:30" s="20" customFormat="1" ht="36" customHeight="1" x14ac:dyDescent="0.25">
      <c r="A1361" s="2">
        <f>ROW()-ROW($A$11)-36</f>
        <v>1314</v>
      </c>
      <c r="B1361" s="6">
        <f>A1361</f>
        <v>1314</v>
      </c>
      <c r="C1361" s="28" t="s">
        <v>2235</v>
      </c>
      <c r="D1361" s="4">
        <f>E1361+M1361+O1361+Q1361+S1361+T1361+U1361+V1361+W1361+X1361+Z1361+AA1361+AB1361+AC1361+AD1361</f>
        <v>4495000</v>
      </c>
      <c r="E1361" s="1">
        <f>SUM(F1361:K1361)</f>
        <v>0</v>
      </c>
      <c r="F1361" s="1">
        <v>0</v>
      </c>
      <c r="G1361" s="1">
        <v>0</v>
      </c>
      <c r="H1361" s="1">
        <v>0</v>
      </c>
      <c r="I1361" s="1">
        <v>0</v>
      </c>
      <c r="J1361" s="1">
        <v>0</v>
      </c>
      <c r="K1361" s="1">
        <v>0</v>
      </c>
      <c r="L1361" s="2">
        <v>0</v>
      </c>
      <c r="M1361" s="1">
        <v>0</v>
      </c>
      <c r="N1361" s="1">
        <v>580</v>
      </c>
      <c r="O1361" s="1">
        <f>N1361*7750</f>
        <v>4495000</v>
      </c>
      <c r="P1361" s="1">
        <v>0</v>
      </c>
      <c r="Q1361" s="1">
        <f>P1361*1400</f>
        <v>0</v>
      </c>
      <c r="R1361" s="1">
        <v>0</v>
      </c>
      <c r="S1361" s="1">
        <v>0</v>
      </c>
      <c r="T1361" s="1">
        <v>0</v>
      </c>
      <c r="U1361" s="1">
        <v>0</v>
      </c>
      <c r="V1361" s="1">
        <v>0</v>
      </c>
      <c r="W1361" s="1">
        <v>0</v>
      </c>
      <c r="X1361" s="1">
        <v>0</v>
      </c>
      <c r="Y1361" s="1">
        <v>0</v>
      </c>
      <c r="Z1361" s="1">
        <v>0</v>
      </c>
      <c r="AA1361" s="1">
        <v>0</v>
      </c>
      <c r="AB1361" s="1">
        <v>0</v>
      </c>
      <c r="AC1361" s="1">
        <v>0</v>
      </c>
      <c r="AD1361" s="1">
        <v>0</v>
      </c>
    </row>
    <row r="1362" spans="1:30" s="20" customFormat="1" ht="36" customHeight="1" x14ac:dyDescent="0.25">
      <c r="A1362" s="2">
        <f>ROW()-ROW($A$11)-36</f>
        <v>1315</v>
      </c>
      <c r="B1362" s="2">
        <f>A1362</f>
        <v>1315</v>
      </c>
      <c r="C1362" s="28" t="s">
        <v>719</v>
      </c>
      <c r="D1362" s="39">
        <f>E1362+M1362+O1362+Q1362+S1362+T1362+U1362+V1362+W1362+X1362+Z1362+AA1362+AB1362+AC1362+AD1362</f>
        <v>7400130.6500000004</v>
      </c>
      <c r="E1362" s="1">
        <f>SUM(F1362:K1362)</f>
        <v>692055.64999999991</v>
      </c>
      <c r="F1362" s="1">
        <f>804*416.65</f>
        <v>334986.59999999998</v>
      </c>
      <c r="G1362" s="1">
        <v>0</v>
      </c>
      <c r="H1362" s="1">
        <f>390*416.65</f>
        <v>162493.5</v>
      </c>
      <c r="I1362" s="1">
        <v>0</v>
      </c>
      <c r="J1362" s="1">
        <f>467*416.65</f>
        <v>194575.55</v>
      </c>
      <c r="K1362" s="1">
        <v>0</v>
      </c>
      <c r="L1362" s="2">
        <v>0</v>
      </c>
      <c r="M1362" s="1">
        <v>0</v>
      </c>
      <c r="N1362" s="1">
        <v>416.65</v>
      </c>
      <c r="O1362" s="1">
        <f>N1362*7750</f>
        <v>3229037.5</v>
      </c>
      <c r="P1362" s="1">
        <v>0</v>
      </c>
      <c r="Q1362" s="1">
        <f>P1362*1400</f>
        <v>0</v>
      </c>
      <c r="R1362" s="1">
        <v>416.65</v>
      </c>
      <c r="S1362" s="1">
        <f>R1362*7750</f>
        <v>3229037.5</v>
      </c>
      <c r="T1362" s="1">
        <v>150000</v>
      </c>
      <c r="U1362" s="1">
        <v>50000</v>
      </c>
      <c r="V1362" s="1">
        <v>0</v>
      </c>
      <c r="W1362" s="1">
        <v>50000</v>
      </c>
      <c r="X1362" s="1">
        <v>0</v>
      </c>
      <c r="Y1362" s="1">
        <v>0</v>
      </c>
      <c r="Z1362" s="1">
        <v>0</v>
      </c>
      <c r="AA1362" s="1">
        <v>0</v>
      </c>
      <c r="AB1362" s="1">
        <v>0</v>
      </c>
      <c r="AC1362" s="1">
        <v>0</v>
      </c>
      <c r="AD1362" s="1">
        <v>0</v>
      </c>
    </row>
    <row r="1363" spans="1:30" s="20" customFormat="1" ht="54.95" customHeight="1" x14ac:dyDescent="0.25">
      <c r="A1363" s="3"/>
      <c r="B1363" s="47" t="s">
        <v>1995</v>
      </c>
      <c r="C1363" s="48"/>
      <c r="D1363" s="4">
        <f>SUM(D1364:D1365)</f>
        <v>1876560</v>
      </c>
      <c r="E1363" s="4">
        <f t="shared" ref="E1363:AD1363" si="739">SUM(E1364:E1365)</f>
        <v>1776560</v>
      </c>
      <c r="F1363" s="4">
        <f t="shared" si="739"/>
        <v>340896</v>
      </c>
      <c r="G1363" s="4">
        <f t="shared" si="739"/>
        <v>1435664</v>
      </c>
      <c r="H1363" s="4">
        <f t="shared" si="739"/>
        <v>0</v>
      </c>
      <c r="I1363" s="4">
        <f t="shared" si="739"/>
        <v>0</v>
      </c>
      <c r="J1363" s="4">
        <f t="shared" si="739"/>
        <v>0</v>
      </c>
      <c r="K1363" s="4">
        <f t="shared" si="739"/>
        <v>0</v>
      </c>
      <c r="L1363" s="17">
        <f t="shared" si="739"/>
        <v>0</v>
      </c>
      <c r="M1363" s="4">
        <f t="shared" si="739"/>
        <v>0</v>
      </c>
      <c r="N1363" s="4">
        <f t="shared" si="739"/>
        <v>0</v>
      </c>
      <c r="O1363" s="4">
        <f t="shared" si="739"/>
        <v>0</v>
      </c>
      <c r="P1363" s="4">
        <f t="shared" si="739"/>
        <v>0</v>
      </c>
      <c r="Q1363" s="4">
        <f t="shared" si="739"/>
        <v>0</v>
      </c>
      <c r="R1363" s="4">
        <f t="shared" si="739"/>
        <v>0</v>
      </c>
      <c r="S1363" s="4">
        <f t="shared" si="739"/>
        <v>0</v>
      </c>
      <c r="T1363" s="4">
        <f t="shared" si="739"/>
        <v>0</v>
      </c>
      <c r="U1363" s="4">
        <f t="shared" si="739"/>
        <v>100000</v>
      </c>
      <c r="V1363" s="4">
        <f t="shared" si="739"/>
        <v>0</v>
      </c>
      <c r="W1363" s="4">
        <f t="shared" si="739"/>
        <v>0</v>
      </c>
      <c r="X1363" s="4">
        <f t="shared" si="739"/>
        <v>0</v>
      </c>
      <c r="Y1363" s="4">
        <f t="shared" si="739"/>
        <v>0</v>
      </c>
      <c r="Z1363" s="4">
        <f t="shared" si="739"/>
        <v>0</v>
      </c>
      <c r="AA1363" s="4">
        <f t="shared" si="739"/>
        <v>0</v>
      </c>
      <c r="AB1363" s="4">
        <f t="shared" si="739"/>
        <v>0</v>
      </c>
      <c r="AC1363" s="4">
        <f t="shared" si="739"/>
        <v>0</v>
      </c>
      <c r="AD1363" s="4">
        <f t="shared" si="739"/>
        <v>0</v>
      </c>
    </row>
    <row r="1364" spans="1:30" s="20" customFormat="1" ht="36" customHeight="1" x14ac:dyDescent="0.25">
      <c r="A1364" s="2">
        <f>ROW()-ROW($A$11)-37</f>
        <v>1316</v>
      </c>
      <c r="B1364" s="6">
        <f>A1364</f>
        <v>1316</v>
      </c>
      <c r="C1364" s="19" t="s">
        <v>1298</v>
      </c>
      <c r="D1364" s="4">
        <f>E1364+M1364+O1364+Q1364+S1364+T1364+U1364+V1364+W1364+X1364+Z1364+AA1364+AB1364+AC1364+AD1364</f>
        <v>767832</v>
      </c>
      <c r="E1364" s="1">
        <f>SUM(F1364:K1364)</f>
        <v>717832</v>
      </c>
      <c r="F1364" s="1">
        <v>0</v>
      </c>
      <c r="G1364" s="1">
        <f>1693*424</f>
        <v>717832</v>
      </c>
      <c r="H1364" s="1">
        <v>0</v>
      </c>
      <c r="I1364" s="1">
        <v>0</v>
      </c>
      <c r="J1364" s="1">
        <v>0</v>
      </c>
      <c r="K1364" s="1">
        <v>0</v>
      </c>
      <c r="L1364" s="2">
        <v>0</v>
      </c>
      <c r="M1364" s="1">
        <v>0</v>
      </c>
      <c r="N1364" s="1">
        <v>0</v>
      </c>
      <c r="O1364" s="1">
        <v>0</v>
      </c>
      <c r="P1364" s="1">
        <v>0</v>
      </c>
      <c r="Q1364" s="1">
        <v>0</v>
      </c>
      <c r="R1364" s="1">
        <v>0</v>
      </c>
      <c r="S1364" s="1">
        <v>0</v>
      </c>
      <c r="T1364" s="1">
        <v>0</v>
      </c>
      <c r="U1364" s="1">
        <v>50000</v>
      </c>
      <c r="V1364" s="1">
        <v>0</v>
      </c>
      <c r="W1364" s="1">
        <v>0</v>
      </c>
      <c r="X1364" s="1">
        <v>0</v>
      </c>
      <c r="Y1364" s="1">
        <v>0</v>
      </c>
      <c r="Z1364" s="1">
        <v>0</v>
      </c>
      <c r="AA1364" s="1">
        <v>0</v>
      </c>
      <c r="AB1364" s="1">
        <v>0</v>
      </c>
      <c r="AC1364" s="1">
        <v>0</v>
      </c>
      <c r="AD1364" s="1">
        <v>0</v>
      </c>
    </row>
    <row r="1365" spans="1:30" s="20" customFormat="1" ht="36" customHeight="1" x14ac:dyDescent="0.25">
      <c r="A1365" s="2">
        <f>ROW()-ROW($A$11)-37</f>
        <v>1317</v>
      </c>
      <c r="B1365" s="6">
        <f>A1365</f>
        <v>1317</v>
      </c>
      <c r="C1365" s="19" t="s">
        <v>1299</v>
      </c>
      <c r="D1365" s="4">
        <f>E1365+M1365+O1365+Q1365+S1365+T1365+U1365+V1365+W1365+X1365+Z1365+AA1365+AB1365+AC1365+AD1365</f>
        <v>1108728</v>
      </c>
      <c r="E1365" s="1">
        <f>SUM(F1365:K1365)</f>
        <v>1058728</v>
      </c>
      <c r="F1365" s="1">
        <f>804*424</f>
        <v>340896</v>
      </c>
      <c r="G1365" s="1">
        <f>1693*424</f>
        <v>717832</v>
      </c>
      <c r="H1365" s="1">
        <v>0</v>
      </c>
      <c r="I1365" s="1">
        <v>0</v>
      </c>
      <c r="J1365" s="1">
        <v>0</v>
      </c>
      <c r="K1365" s="1">
        <v>0</v>
      </c>
      <c r="L1365" s="2">
        <v>0</v>
      </c>
      <c r="M1365" s="1">
        <v>0</v>
      </c>
      <c r="N1365" s="1">
        <v>0</v>
      </c>
      <c r="O1365" s="1">
        <v>0</v>
      </c>
      <c r="P1365" s="1">
        <v>0</v>
      </c>
      <c r="Q1365" s="1">
        <v>0</v>
      </c>
      <c r="R1365" s="1">
        <v>0</v>
      </c>
      <c r="S1365" s="1">
        <v>0</v>
      </c>
      <c r="T1365" s="1">
        <v>0</v>
      </c>
      <c r="U1365" s="1">
        <v>50000</v>
      </c>
      <c r="V1365" s="1">
        <v>0</v>
      </c>
      <c r="W1365" s="1">
        <v>0</v>
      </c>
      <c r="X1365" s="1">
        <v>0</v>
      </c>
      <c r="Y1365" s="1">
        <v>0</v>
      </c>
      <c r="Z1365" s="1">
        <v>0</v>
      </c>
      <c r="AA1365" s="1">
        <v>0</v>
      </c>
      <c r="AB1365" s="1">
        <v>0</v>
      </c>
      <c r="AC1365" s="1">
        <v>0</v>
      </c>
      <c r="AD1365" s="1">
        <v>0</v>
      </c>
    </row>
    <row r="1366" spans="1:30" s="20" customFormat="1" ht="54.95" customHeight="1" x14ac:dyDescent="0.25">
      <c r="A1366" s="3"/>
      <c r="B1366" s="47" t="s">
        <v>1975</v>
      </c>
      <c r="C1366" s="48"/>
      <c r="D1366" s="4">
        <f>SUM(D1367:D1373)</f>
        <v>21466587.100000001</v>
      </c>
      <c r="E1366" s="4">
        <f t="shared" ref="E1366:AD1366" si="740">SUM(E1367:E1373)</f>
        <v>5886258.1000000015</v>
      </c>
      <c r="F1366" s="4">
        <f t="shared" si="740"/>
        <v>1511439.6</v>
      </c>
      <c r="G1366" s="4">
        <f t="shared" si="740"/>
        <v>1706882.6</v>
      </c>
      <c r="H1366" s="4">
        <f t="shared" si="740"/>
        <v>926328</v>
      </c>
      <c r="I1366" s="4">
        <f t="shared" si="740"/>
        <v>863694.60000000009</v>
      </c>
      <c r="J1366" s="4">
        <f t="shared" si="740"/>
        <v>877913.3</v>
      </c>
      <c r="K1366" s="4">
        <f t="shared" si="740"/>
        <v>0</v>
      </c>
      <c r="L1366" s="17">
        <f t="shared" si="740"/>
        <v>0</v>
      </c>
      <c r="M1366" s="4">
        <f t="shared" si="740"/>
        <v>0</v>
      </c>
      <c r="N1366" s="4">
        <f t="shared" si="740"/>
        <v>1050</v>
      </c>
      <c r="O1366" s="4">
        <f t="shared" si="740"/>
        <v>8137500</v>
      </c>
      <c r="P1366" s="4">
        <f t="shared" si="740"/>
        <v>50</v>
      </c>
      <c r="Q1366" s="4">
        <f t="shared" si="740"/>
        <v>70000</v>
      </c>
      <c r="R1366" s="4">
        <f t="shared" si="740"/>
        <v>1579</v>
      </c>
      <c r="S1366" s="4">
        <f t="shared" si="740"/>
        <v>5922829</v>
      </c>
      <c r="T1366" s="4">
        <f t="shared" si="740"/>
        <v>1050000</v>
      </c>
      <c r="U1366" s="4">
        <f t="shared" si="740"/>
        <v>250000</v>
      </c>
      <c r="V1366" s="4">
        <f t="shared" si="740"/>
        <v>0</v>
      </c>
      <c r="W1366" s="4">
        <f t="shared" si="740"/>
        <v>150000</v>
      </c>
      <c r="X1366" s="4">
        <f t="shared" si="740"/>
        <v>0</v>
      </c>
      <c r="Y1366" s="4">
        <f t="shared" si="740"/>
        <v>0</v>
      </c>
      <c r="Z1366" s="4">
        <f t="shared" si="740"/>
        <v>0</v>
      </c>
      <c r="AA1366" s="4">
        <f t="shared" si="740"/>
        <v>0</v>
      </c>
      <c r="AB1366" s="4">
        <f t="shared" si="740"/>
        <v>0</v>
      </c>
      <c r="AC1366" s="4">
        <f t="shared" si="740"/>
        <v>0</v>
      </c>
      <c r="AD1366" s="4">
        <f t="shared" si="740"/>
        <v>0</v>
      </c>
    </row>
    <row r="1367" spans="1:30" s="20" customFormat="1" ht="36" customHeight="1" x14ac:dyDescent="0.25">
      <c r="A1367" s="2">
        <f>ROW()-ROW($A$11)-38</f>
        <v>1318</v>
      </c>
      <c r="B1367" s="6">
        <f t="shared" ref="B1367:B1373" si="741">A1367</f>
        <v>1318</v>
      </c>
      <c r="C1367" s="19" t="s">
        <v>720</v>
      </c>
      <c r="D1367" s="4">
        <f t="shared" ref="D1367:D1373" si="742">E1367+M1367+O1367+Q1367+S1367+T1367+U1367+V1367+W1367+X1367+Z1367+AA1367+AB1367+AC1367+AD1367</f>
        <v>393167</v>
      </c>
      <c r="E1367" s="1">
        <f>SUM(F1367:K1367)</f>
        <v>193167</v>
      </c>
      <c r="F1367" s="1">
        <v>0</v>
      </c>
      <c r="G1367" s="1">
        <v>0</v>
      </c>
      <c r="H1367" s="1">
        <f>390*495.3</f>
        <v>193167</v>
      </c>
      <c r="I1367" s="1">
        <v>0</v>
      </c>
      <c r="J1367" s="1">
        <v>0</v>
      </c>
      <c r="K1367" s="1">
        <v>0</v>
      </c>
      <c r="L1367" s="2">
        <v>0</v>
      </c>
      <c r="M1367" s="1">
        <v>0</v>
      </c>
      <c r="N1367" s="1">
        <v>0</v>
      </c>
      <c r="O1367" s="1">
        <v>0</v>
      </c>
      <c r="P1367" s="1">
        <v>0</v>
      </c>
      <c r="Q1367" s="1">
        <f>P1367*1400</f>
        <v>0</v>
      </c>
      <c r="R1367" s="1">
        <v>0</v>
      </c>
      <c r="S1367" s="1">
        <f t="shared" ref="S1367:S1372" si="743">R1367*3751</f>
        <v>0</v>
      </c>
      <c r="T1367" s="1">
        <v>150000</v>
      </c>
      <c r="U1367" s="1">
        <v>50000</v>
      </c>
      <c r="V1367" s="1">
        <v>0</v>
      </c>
      <c r="W1367" s="1">
        <v>0</v>
      </c>
      <c r="X1367" s="1">
        <v>0</v>
      </c>
      <c r="Y1367" s="1">
        <v>0</v>
      </c>
      <c r="Z1367" s="1">
        <v>0</v>
      </c>
      <c r="AA1367" s="1">
        <v>0</v>
      </c>
      <c r="AB1367" s="1">
        <v>0</v>
      </c>
      <c r="AC1367" s="1">
        <v>0</v>
      </c>
      <c r="AD1367" s="1">
        <v>0</v>
      </c>
    </row>
    <row r="1368" spans="1:30" s="20" customFormat="1" ht="36" customHeight="1" x14ac:dyDescent="0.25">
      <c r="A1368" s="2">
        <f t="shared" ref="A1368:A1373" si="744">ROW()-ROW($A$11)-38</f>
        <v>1319</v>
      </c>
      <c r="B1368" s="6">
        <f t="shared" si="741"/>
        <v>1319</v>
      </c>
      <c r="C1368" s="19" t="s">
        <v>721</v>
      </c>
      <c r="D1368" s="4">
        <f t="shared" si="742"/>
        <v>5045521.3</v>
      </c>
      <c r="E1368" s="1">
        <f t="shared" ref="E1368:E1373" si="745">SUM(F1368:K1368)</f>
        <v>610085.30000000005</v>
      </c>
      <c r="F1368" s="1">
        <f>804*367.3</f>
        <v>295309.2</v>
      </c>
      <c r="G1368" s="1">
        <v>0</v>
      </c>
      <c r="H1368" s="1">
        <f>390*367.3</f>
        <v>143247</v>
      </c>
      <c r="I1368" s="1">
        <v>0</v>
      </c>
      <c r="J1368" s="1">
        <f>467*367.3</f>
        <v>171529.1</v>
      </c>
      <c r="K1368" s="1">
        <v>0</v>
      </c>
      <c r="L1368" s="2">
        <v>0</v>
      </c>
      <c r="M1368" s="1">
        <v>0</v>
      </c>
      <c r="N1368" s="1">
        <v>320</v>
      </c>
      <c r="O1368" s="1">
        <f>N1368*7750</f>
        <v>2480000</v>
      </c>
      <c r="P1368" s="1">
        <v>50</v>
      </c>
      <c r="Q1368" s="1">
        <f t="shared" ref="Q1368:Q1373" si="746">P1368*1400</f>
        <v>70000</v>
      </c>
      <c r="R1368" s="1">
        <v>436</v>
      </c>
      <c r="S1368" s="1">
        <f t="shared" si="743"/>
        <v>1635436</v>
      </c>
      <c r="T1368" s="1">
        <v>150000</v>
      </c>
      <c r="U1368" s="1">
        <v>50000</v>
      </c>
      <c r="V1368" s="1">
        <v>0</v>
      </c>
      <c r="W1368" s="1">
        <v>50000</v>
      </c>
      <c r="X1368" s="1">
        <v>0</v>
      </c>
      <c r="Y1368" s="1">
        <v>0</v>
      </c>
      <c r="Z1368" s="1">
        <v>0</v>
      </c>
      <c r="AA1368" s="1">
        <v>0</v>
      </c>
      <c r="AB1368" s="1">
        <v>0</v>
      </c>
      <c r="AC1368" s="1">
        <v>0</v>
      </c>
      <c r="AD1368" s="1">
        <v>0</v>
      </c>
    </row>
    <row r="1369" spans="1:30" s="20" customFormat="1" ht="36" customHeight="1" x14ac:dyDescent="0.25">
      <c r="A1369" s="2">
        <f t="shared" si="744"/>
        <v>1320</v>
      </c>
      <c r="B1369" s="6">
        <f t="shared" si="741"/>
        <v>1320</v>
      </c>
      <c r="C1369" s="19" t="s">
        <v>722</v>
      </c>
      <c r="D1369" s="4">
        <f t="shared" si="742"/>
        <v>5410752.7999999998</v>
      </c>
      <c r="E1369" s="1">
        <f t="shared" si="745"/>
        <v>1125820.8</v>
      </c>
      <c r="F1369" s="1">
        <f>804*504.4</f>
        <v>405537.6</v>
      </c>
      <c r="G1369" s="1">
        <v>0</v>
      </c>
      <c r="H1369" s="1">
        <f>390*504.4</f>
        <v>196716</v>
      </c>
      <c r="I1369" s="1">
        <f>571*504.4</f>
        <v>288012.39999999997</v>
      </c>
      <c r="J1369" s="1">
        <f>467*504.4</f>
        <v>235554.8</v>
      </c>
      <c r="K1369" s="1">
        <v>0</v>
      </c>
      <c r="L1369" s="2">
        <v>0</v>
      </c>
      <c r="M1369" s="1">
        <v>0</v>
      </c>
      <c r="N1369" s="1">
        <v>318</v>
      </c>
      <c r="O1369" s="1">
        <f>N1369*7750</f>
        <v>2464500</v>
      </c>
      <c r="P1369" s="1">
        <v>0</v>
      </c>
      <c r="Q1369" s="1">
        <f t="shared" si="746"/>
        <v>0</v>
      </c>
      <c r="R1369" s="1">
        <v>432</v>
      </c>
      <c r="S1369" s="1">
        <f t="shared" si="743"/>
        <v>1620432</v>
      </c>
      <c r="T1369" s="1">
        <v>150000</v>
      </c>
      <c r="U1369" s="1">
        <v>50000</v>
      </c>
      <c r="V1369" s="1">
        <v>0</v>
      </c>
      <c r="W1369" s="1">
        <v>0</v>
      </c>
      <c r="X1369" s="1">
        <v>0</v>
      </c>
      <c r="Y1369" s="1">
        <v>0</v>
      </c>
      <c r="Z1369" s="1">
        <v>0</v>
      </c>
      <c r="AA1369" s="1">
        <v>0</v>
      </c>
      <c r="AB1369" s="1">
        <v>0</v>
      </c>
      <c r="AC1369" s="1">
        <v>0</v>
      </c>
      <c r="AD1369" s="1">
        <v>0</v>
      </c>
    </row>
    <row r="1370" spans="1:30" s="20" customFormat="1" ht="36" customHeight="1" x14ac:dyDescent="0.25">
      <c r="A1370" s="2">
        <f t="shared" si="744"/>
        <v>1321</v>
      </c>
      <c r="B1370" s="6">
        <f t="shared" si="741"/>
        <v>1321</v>
      </c>
      <c r="C1370" s="19" t="s">
        <v>723</v>
      </c>
      <c r="D1370" s="4">
        <f t="shared" si="742"/>
        <v>150000</v>
      </c>
      <c r="E1370" s="1">
        <f t="shared" si="745"/>
        <v>0</v>
      </c>
      <c r="F1370" s="1">
        <v>0</v>
      </c>
      <c r="G1370" s="1">
        <v>0</v>
      </c>
      <c r="H1370" s="1">
        <v>0</v>
      </c>
      <c r="I1370" s="1">
        <v>0</v>
      </c>
      <c r="J1370" s="1">
        <v>0</v>
      </c>
      <c r="K1370" s="1">
        <v>0</v>
      </c>
      <c r="L1370" s="2">
        <v>0</v>
      </c>
      <c r="M1370" s="1">
        <v>0</v>
      </c>
      <c r="N1370" s="1">
        <v>0</v>
      </c>
      <c r="O1370" s="1">
        <v>0</v>
      </c>
      <c r="P1370" s="1">
        <v>0</v>
      </c>
      <c r="Q1370" s="1">
        <f t="shared" si="746"/>
        <v>0</v>
      </c>
      <c r="R1370" s="1">
        <v>0</v>
      </c>
      <c r="S1370" s="1">
        <f t="shared" si="743"/>
        <v>0</v>
      </c>
      <c r="T1370" s="1">
        <v>150000</v>
      </c>
      <c r="U1370" s="1">
        <v>0</v>
      </c>
      <c r="V1370" s="1">
        <v>0</v>
      </c>
      <c r="W1370" s="1">
        <v>0</v>
      </c>
      <c r="X1370" s="1">
        <v>0</v>
      </c>
      <c r="Y1370" s="1">
        <v>0</v>
      </c>
      <c r="Z1370" s="1">
        <v>0</v>
      </c>
      <c r="AA1370" s="1">
        <v>0</v>
      </c>
      <c r="AB1370" s="1">
        <v>0</v>
      </c>
      <c r="AC1370" s="1">
        <v>0</v>
      </c>
      <c r="AD1370" s="1">
        <v>0</v>
      </c>
    </row>
    <row r="1371" spans="1:30" s="20" customFormat="1" ht="36" customHeight="1" x14ac:dyDescent="0.25">
      <c r="A1371" s="2">
        <f t="shared" si="744"/>
        <v>1322</v>
      </c>
      <c r="B1371" s="6">
        <f t="shared" si="741"/>
        <v>1322</v>
      </c>
      <c r="C1371" s="19" t="s">
        <v>724</v>
      </c>
      <c r="D1371" s="4">
        <f t="shared" si="742"/>
        <v>150000</v>
      </c>
      <c r="E1371" s="1">
        <f t="shared" si="745"/>
        <v>0</v>
      </c>
      <c r="F1371" s="1">
        <v>0</v>
      </c>
      <c r="G1371" s="1">
        <v>0</v>
      </c>
      <c r="H1371" s="1">
        <v>0</v>
      </c>
      <c r="I1371" s="1">
        <v>0</v>
      </c>
      <c r="J1371" s="1">
        <v>0</v>
      </c>
      <c r="K1371" s="1">
        <v>0</v>
      </c>
      <c r="L1371" s="2">
        <v>0</v>
      </c>
      <c r="M1371" s="1">
        <v>0</v>
      </c>
      <c r="N1371" s="1">
        <v>0</v>
      </c>
      <c r="O1371" s="1">
        <v>0</v>
      </c>
      <c r="P1371" s="1">
        <v>0</v>
      </c>
      <c r="Q1371" s="1">
        <f t="shared" si="746"/>
        <v>0</v>
      </c>
      <c r="R1371" s="1">
        <v>0</v>
      </c>
      <c r="S1371" s="1">
        <f t="shared" si="743"/>
        <v>0</v>
      </c>
      <c r="T1371" s="1">
        <v>150000</v>
      </c>
      <c r="U1371" s="1">
        <v>0</v>
      </c>
      <c r="V1371" s="1">
        <v>0</v>
      </c>
      <c r="W1371" s="1">
        <v>0</v>
      </c>
      <c r="X1371" s="1">
        <v>0</v>
      </c>
      <c r="Y1371" s="1">
        <v>0</v>
      </c>
      <c r="Z1371" s="1">
        <v>0</v>
      </c>
      <c r="AA1371" s="1">
        <v>0</v>
      </c>
      <c r="AB1371" s="1">
        <v>0</v>
      </c>
      <c r="AC1371" s="1">
        <v>0</v>
      </c>
      <c r="AD1371" s="1">
        <v>0</v>
      </c>
    </row>
    <row r="1372" spans="1:30" s="20" customFormat="1" ht="36" customHeight="1" x14ac:dyDescent="0.25">
      <c r="A1372" s="2">
        <f t="shared" si="744"/>
        <v>1323</v>
      </c>
      <c r="B1372" s="6">
        <f t="shared" si="741"/>
        <v>1323</v>
      </c>
      <c r="C1372" s="19" t="s">
        <v>725</v>
      </c>
      <c r="D1372" s="4">
        <f t="shared" si="742"/>
        <v>6331066</v>
      </c>
      <c r="E1372" s="1">
        <f t="shared" si="745"/>
        <v>1721505.0000000002</v>
      </c>
      <c r="F1372" s="1">
        <f>804*438.6</f>
        <v>352634.4</v>
      </c>
      <c r="G1372" s="1">
        <f>1693*438.6</f>
        <v>742549.8</v>
      </c>
      <c r="H1372" s="1">
        <f>390*438.6</f>
        <v>171054</v>
      </c>
      <c r="I1372" s="1">
        <f>571*438.6</f>
        <v>250440.6</v>
      </c>
      <c r="J1372" s="1">
        <f>467*438.6</f>
        <v>204826.2</v>
      </c>
      <c r="K1372" s="1">
        <v>0</v>
      </c>
      <c r="L1372" s="2">
        <v>0</v>
      </c>
      <c r="M1372" s="1">
        <v>0</v>
      </c>
      <c r="N1372" s="1">
        <v>412</v>
      </c>
      <c r="O1372" s="1">
        <f>N1372*7750</f>
        <v>3193000</v>
      </c>
      <c r="P1372" s="1">
        <v>0</v>
      </c>
      <c r="Q1372" s="1">
        <f t="shared" si="746"/>
        <v>0</v>
      </c>
      <c r="R1372" s="1">
        <v>311</v>
      </c>
      <c r="S1372" s="1">
        <f t="shared" si="743"/>
        <v>1166561</v>
      </c>
      <c r="T1372" s="1">
        <v>150000</v>
      </c>
      <c r="U1372" s="1">
        <v>50000</v>
      </c>
      <c r="V1372" s="1">
        <v>0</v>
      </c>
      <c r="W1372" s="1">
        <v>50000</v>
      </c>
      <c r="X1372" s="1">
        <v>0</v>
      </c>
      <c r="Y1372" s="1">
        <v>0</v>
      </c>
      <c r="Z1372" s="1">
        <v>0</v>
      </c>
      <c r="AA1372" s="1">
        <v>0</v>
      </c>
      <c r="AB1372" s="1">
        <v>0</v>
      </c>
      <c r="AC1372" s="1">
        <v>0</v>
      </c>
      <c r="AD1372" s="1">
        <v>0</v>
      </c>
    </row>
    <row r="1373" spans="1:30" s="20" customFormat="1" ht="36" customHeight="1" x14ac:dyDescent="0.25">
      <c r="A1373" s="2">
        <f t="shared" si="744"/>
        <v>1324</v>
      </c>
      <c r="B1373" s="6">
        <f t="shared" si="741"/>
        <v>1324</v>
      </c>
      <c r="C1373" s="19" t="s">
        <v>726</v>
      </c>
      <c r="D1373" s="4">
        <f t="shared" si="742"/>
        <v>3986080.0000000005</v>
      </c>
      <c r="E1373" s="1">
        <f t="shared" si="745"/>
        <v>2235680.0000000005</v>
      </c>
      <c r="F1373" s="1">
        <f>804*569.6</f>
        <v>457958.40000000002</v>
      </c>
      <c r="G1373" s="1">
        <f>1693*569.6</f>
        <v>964332.8</v>
      </c>
      <c r="H1373" s="1">
        <f>390*569.6</f>
        <v>222144</v>
      </c>
      <c r="I1373" s="1">
        <f>571*569.6</f>
        <v>325241.60000000003</v>
      </c>
      <c r="J1373" s="1">
        <f>467*569.6</f>
        <v>266003.20000000001</v>
      </c>
      <c r="K1373" s="1">
        <v>0</v>
      </c>
      <c r="L1373" s="2">
        <v>0</v>
      </c>
      <c r="M1373" s="1">
        <v>0</v>
      </c>
      <c r="N1373" s="1">
        <v>0</v>
      </c>
      <c r="O1373" s="1">
        <v>0</v>
      </c>
      <c r="P1373" s="1">
        <v>0</v>
      </c>
      <c r="Q1373" s="1">
        <f t="shared" si="746"/>
        <v>0</v>
      </c>
      <c r="R1373" s="1">
        <v>400</v>
      </c>
      <c r="S1373" s="1">
        <f>R1373*3751</f>
        <v>1500400</v>
      </c>
      <c r="T1373" s="1">
        <v>150000</v>
      </c>
      <c r="U1373" s="1">
        <v>50000</v>
      </c>
      <c r="V1373" s="1">
        <v>0</v>
      </c>
      <c r="W1373" s="1">
        <v>50000</v>
      </c>
      <c r="X1373" s="1">
        <v>0</v>
      </c>
      <c r="Y1373" s="1">
        <v>0</v>
      </c>
      <c r="Z1373" s="1">
        <v>0</v>
      </c>
      <c r="AA1373" s="1">
        <v>0</v>
      </c>
      <c r="AB1373" s="1">
        <v>0</v>
      </c>
      <c r="AC1373" s="1">
        <v>0</v>
      </c>
      <c r="AD1373" s="1">
        <v>0</v>
      </c>
    </row>
    <row r="1374" spans="1:30" s="20" customFormat="1" ht="54.95" customHeight="1" x14ac:dyDescent="0.25">
      <c r="A1374" s="3"/>
      <c r="B1374" s="47" t="s">
        <v>1976</v>
      </c>
      <c r="C1374" s="48"/>
      <c r="D1374" s="4">
        <f>SUM(D1375:D1383)</f>
        <v>58512852</v>
      </c>
      <c r="E1374" s="4">
        <f t="shared" ref="E1374:AD1374" si="747">SUM(E1375:E1383)</f>
        <v>15907240</v>
      </c>
      <c r="F1374" s="4">
        <f t="shared" si="747"/>
        <v>3258451.2</v>
      </c>
      <c r="G1374" s="4">
        <f t="shared" si="747"/>
        <v>6861390.4000000004</v>
      </c>
      <c r="H1374" s="4">
        <f t="shared" si="747"/>
        <v>1580592</v>
      </c>
      <c r="I1374" s="4">
        <f t="shared" si="747"/>
        <v>2314148.7999999998</v>
      </c>
      <c r="J1374" s="4">
        <f t="shared" si="747"/>
        <v>1892657.6</v>
      </c>
      <c r="K1374" s="4">
        <f t="shared" si="747"/>
        <v>0</v>
      </c>
      <c r="L1374" s="17">
        <f t="shared" si="747"/>
        <v>0</v>
      </c>
      <c r="M1374" s="4">
        <f t="shared" si="747"/>
        <v>0</v>
      </c>
      <c r="N1374" s="4">
        <f t="shared" si="747"/>
        <v>3928</v>
      </c>
      <c r="O1374" s="4">
        <f t="shared" si="747"/>
        <v>29607400</v>
      </c>
      <c r="P1374" s="4">
        <f t="shared" si="747"/>
        <v>0</v>
      </c>
      <c r="Q1374" s="4">
        <f t="shared" si="747"/>
        <v>0</v>
      </c>
      <c r="R1374" s="4">
        <f t="shared" si="747"/>
        <v>3212</v>
      </c>
      <c r="S1374" s="4">
        <f t="shared" si="747"/>
        <v>12048212</v>
      </c>
      <c r="T1374" s="4">
        <f t="shared" si="747"/>
        <v>150000</v>
      </c>
      <c r="U1374" s="4">
        <f t="shared" si="747"/>
        <v>400000</v>
      </c>
      <c r="V1374" s="4">
        <f t="shared" si="747"/>
        <v>0</v>
      </c>
      <c r="W1374" s="4">
        <f t="shared" si="747"/>
        <v>400000</v>
      </c>
      <c r="X1374" s="4">
        <f t="shared" si="747"/>
        <v>0</v>
      </c>
      <c r="Y1374" s="4">
        <f t="shared" si="747"/>
        <v>0</v>
      </c>
      <c r="Z1374" s="4">
        <f t="shared" si="747"/>
        <v>0</v>
      </c>
      <c r="AA1374" s="4">
        <f t="shared" si="747"/>
        <v>0</v>
      </c>
      <c r="AB1374" s="4">
        <f t="shared" si="747"/>
        <v>0</v>
      </c>
      <c r="AC1374" s="4">
        <f t="shared" si="747"/>
        <v>0</v>
      </c>
      <c r="AD1374" s="4">
        <f t="shared" si="747"/>
        <v>0</v>
      </c>
    </row>
    <row r="1375" spans="1:30" s="20" customFormat="1" ht="36" customHeight="1" x14ac:dyDescent="0.25">
      <c r="A1375" s="2">
        <f>ROW()-ROW($A$11)-39</f>
        <v>1325</v>
      </c>
      <c r="B1375" s="6">
        <f t="shared" ref="B1375:B1383" si="748">A1375</f>
        <v>1325</v>
      </c>
      <c r="C1375" s="19" t="s">
        <v>727</v>
      </c>
      <c r="D1375" s="4">
        <f t="shared" ref="D1375:D1383" si="749">E1375+M1375+O1375+Q1375+S1375+T1375+U1375+V1375+W1375+X1375+Z1375+AA1375+AB1375+AC1375+AD1375</f>
        <v>5940194.5</v>
      </c>
      <c r="E1375" s="1">
        <f>SUM(F1375:K1375)</f>
        <v>1725037.5</v>
      </c>
      <c r="F1375" s="1">
        <f>804*439.5</f>
        <v>353358</v>
      </c>
      <c r="G1375" s="1">
        <f>1693*439.5</f>
        <v>744073.5</v>
      </c>
      <c r="H1375" s="1">
        <f>390*439.5</f>
        <v>171405</v>
      </c>
      <c r="I1375" s="1">
        <f>571*439.5</f>
        <v>250954.5</v>
      </c>
      <c r="J1375" s="1">
        <f>467*439.5</f>
        <v>205246.5</v>
      </c>
      <c r="K1375" s="1">
        <v>0</v>
      </c>
      <c r="L1375" s="2">
        <v>0</v>
      </c>
      <c r="M1375" s="1">
        <v>0</v>
      </c>
      <c r="N1375" s="1">
        <v>334</v>
      </c>
      <c r="O1375" s="1">
        <f>N1375*7750</f>
        <v>2588500</v>
      </c>
      <c r="P1375" s="1">
        <v>0</v>
      </c>
      <c r="Q1375" s="1">
        <f>P1375*1400</f>
        <v>0</v>
      </c>
      <c r="R1375" s="1">
        <v>407</v>
      </c>
      <c r="S1375" s="1">
        <f>R1375*3751</f>
        <v>1526657</v>
      </c>
      <c r="T1375" s="1">
        <v>0</v>
      </c>
      <c r="U1375" s="1">
        <v>50000</v>
      </c>
      <c r="V1375" s="1">
        <v>0</v>
      </c>
      <c r="W1375" s="1">
        <v>50000</v>
      </c>
      <c r="X1375" s="1">
        <v>0</v>
      </c>
      <c r="Y1375" s="1">
        <v>0</v>
      </c>
      <c r="Z1375" s="1">
        <v>0</v>
      </c>
      <c r="AA1375" s="1">
        <v>0</v>
      </c>
      <c r="AB1375" s="1">
        <v>0</v>
      </c>
      <c r="AC1375" s="1">
        <v>0</v>
      </c>
      <c r="AD1375" s="1">
        <v>0</v>
      </c>
    </row>
    <row r="1376" spans="1:30" s="20" customFormat="1" ht="36" customHeight="1" x14ac:dyDescent="0.25">
      <c r="A1376" s="2">
        <f t="shared" ref="A1376:A1383" si="750">ROW()-ROW($A$11)-39</f>
        <v>1326</v>
      </c>
      <c r="B1376" s="6">
        <f t="shared" si="748"/>
        <v>1326</v>
      </c>
      <c r="C1376" s="19" t="s">
        <v>728</v>
      </c>
      <c r="D1376" s="4">
        <f t="shared" si="749"/>
        <v>4518125</v>
      </c>
      <c r="E1376" s="1">
        <f t="shared" ref="E1376:E1383" si="751">SUM(F1376:K1376)</f>
        <v>1652425</v>
      </c>
      <c r="F1376" s="1">
        <f>804*421</f>
        <v>338484</v>
      </c>
      <c r="G1376" s="1">
        <f>1693*421</f>
        <v>712753</v>
      </c>
      <c r="H1376" s="1">
        <f>390*421</f>
        <v>164190</v>
      </c>
      <c r="I1376" s="1">
        <f>571*421</f>
        <v>240391</v>
      </c>
      <c r="J1376" s="1">
        <f>467*421</f>
        <v>196607</v>
      </c>
      <c r="K1376" s="1">
        <v>0</v>
      </c>
      <c r="L1376" s="2">
        <v>0</v>
      </c>
      <c r="M1376" s="1">
        <v>0</v>
      </c>
      <c r="N1376" s="1">
        <v>300</v>
      </c>
      <c r="O1376" s="1">
        <f>N1376*4968</f>
        <v>1490400</v>
      </c>
      <c r="P1376" s="1">
        <v>0</v>
      </c>
      <c r="Q1376" s="1">
        <f t="shared" ref="Q1376:Q1383" si="752">P1376*1400</f>
        <v>0</v>
      </c>
      <c r="R1376" s="1">
        <v>300</v>
      </c>
      <c r="S1376" s="1">
        <f t="shared" ref="S1376:S1383" si="753">R1376*3751</f>
        <v>1125300</v>
      </c>
      <c r="T1376" s="1">
        <v>150000</v>
      </c>
      <c r="U1376" s="1">
        <v>50000</v>
      </c>
      <c r="V1376" s="1">
        <v>0</v>
      </c>
      <c r="W1376" s="1">
        <v>50000</v>
      </c>
      <c r="X1376" s="1">
        <v>0</v>
      </c>
      <c r="Y1376" s="1">
        <v>0</v>
      </c>
      <c r="Z1376" s="1">
        <v>0</v>
      </c>
      <c r="AA1376" s="1">
        <v>0</v>
      </c>
      <c r="AB1376" s="1">
        <v>0</v>
      </c>
      <c r="AC1376" s="1">
        <v>0</v>
      </c>
      <c r="AD1376" s="1">
        <v>0</v>
      </c>
    </row>
    <row r="1377" spans="1:30" s="20" customFormat="1" ht="36" customHeight="1" x14ac:dyDescent="0.25">
      <c r="A1377" s="2">
        <f t="shared" si="750"/>
        <v>1327</v>
      </c>
      <c r="B1377" s="6">
        <f t="shared" ref="B1377" si="754">A1377</f>
        <v>1327</v>
      </c>
      <c r="C1377" s="19" t="s">
        <v>2505</v>
      </c>
      <c r="D1377" s="4">
        <f t="shared" si="749"/>
        <v>2635000</v>
      </c>
      <c r="E1377" s="1">
        <f t="shared" ref="E1377" si="755">SUM(F1377:K1377)</f>
        <v>0</v>
      </c>
      <c r="F1377" s="1">
        <v>0</v>
      </c>
      <c r="G1377" s="1">
        <v>0</v>
      </c>
      <c r="H1377" s="1">
        <v>0</v>
      </c>
      <c r="I1377" s="1">
        <v>0</v>
      </c>
      <c r="J1377" s="1">
        <v>0</v>
      </c>
      <c r="K1377" s="1">
        <v>0</v>
      </c>
      <c r="L1377" s="2">
        <v>0</v>
      </c>
      <c r="M1377" s="1">
        <v>0</v>
      </c>
      <c r="N1377" s="1">
        <v>340</v>
      </c>
      <c r="O1377" s="1">
        <f t="shared" ref="O1377" si="756">N1377*7750</f>
        <v>2635000</v>
      </c>
      <c r="P1377" s="1">
        <v>0</v>
      </c>
      <c r="Q1377" s="1">
        <f t="shared" ref="Q1377" si="757">P1377*1400</f>
        <v>0</v>
      </c>
      <c r="R1377" s="1">
        <v>0</v>
      </c>
      <c r="S1377" s="1">
        <v>0</v>
      </c>
      <c r="T1377" s="1">
        <v>0</v>
      </c>
      <c r="U1377" s="1">
        <v>0</v>
      </c>
      <c r="V1377" s="1">
        <v>0</v>
      </c>
      <c r="W1377" s="1">
        <v>0</v>
      </c>
      <c r="X1377" s="1">
        <v>0</v>
      </c>
      <c r="Y1377" s="1">
        <v>0</v>
      </c>
      <c r="Z1377" s="1">
        <v>0</v>
      </c>
      <c r="AA1377" s="1">
        <v>0</v>
      </c>
      <c r="AB1377" s="1">
        <v>0</v>
      </c>
      <c r="AC1377" s="1">
        <v>0</v>
      </c>
      <c r="AD1377" s="1">
        <v>0</v>
      </c>
    </row>
    <row r="1378" spans="1:30" s="20" customFormat="1" ht="36" customHeight="1" x14ac:dyDescent="0.25">
      <c r="A1378" s="2">
        <f t="shared" si="750"/>
        <v>1328</v>
      </c>
      <c r="B1378" s="6">
        <f t="shared" si="748"/>
        <v>1328</v>
      </c>
      <c r="C1378" s="19" t="s">
        <v>2506</v>
      </c>
      <c r="D1378" s="4">
        <f t="shared" si="749"/>
        <v>5456027.5</v>
      </c>
      <c r="E1378" s="1">
        <f t="shared" si="751"/>
        <v>1454212.5</v>
      </c>
      <c r="F1378" s="1">
        <f>804*370.5</f>
        <v>297882</v>
      </c>
      <c r="G1378" s="1">
        <f>1693*370.5</f>
        <v>627256.5</v>
      </c>
      <c r="H1378" s="1">
        <f>390*370.5</f>
        <v>144495</v>
      </c>
      <c r="I1378" s="1">
        <f>571*370.5</f>
        <v>211555.5</v>
      </c>
      <c r="J1378" s="1">
        <f>467*370.5</f>
        <v>173023.5</v>
      </c>
      <c r="K1378" s="1">
        <v>0</v>
      </c>
      <c r="L1378" s="2">
        <v>0</v>
      </c>
      <c r="M1378" s="1">
        <v>0</v>
      </c>
      <c r="N1378" s="1">
        <v>351</v>
      </c>
      <c r="O1378" s="1">
        <f t="shared" ref="O1378:O1383" si="758">N1378*7750</f>
        <v>2720250</v>
      </c>
      <c r="P1378" s="1">
        <v>0</v>
      </c>
      <c r="Q1378" s="1">
        <f t="shared" si="752"/>
        <v>0</v>
      </c>
      <c r="R1378" s="1">
        <v>315</v>
      </c>
      <c r="S1378" s="1">
        <f t="shared" si="753"/>
        <v>1181565</v>
      </c>
      <c r="T1378" s="1">
        <v>0</v>
      </c>
      <c r="U1378" s="1">
        <v>50000</v>
      </c>
      <c r="V1378" s="1">
        <v>0</v>
      </c>
      <c r="W1378" s="1">
        <v>50000</v>
      </c>
      <c r="X1378" s="1">
        <v>0</v>
      </c>
      <c r="Y1378" s="1">
        <v>0</v>
      </c>
      <c r="Z1378" s="1">
        <v>0</v>
      </c>
      <c r="AA1378" s="1">
        <v>0</v>
      </c>
      <c r="AB1378" s="1">
        <v>0</v>
      </c>
      <c r="AC1378" s="1">
        <v>0</v>
      </c>
      <c r="AD1378" s="1">
        <v>0</v>
      </c>
    </row>
    <row r="1379" spans="1:30" s="20" customFormat="1" ht="36" customHeight="1" x14ac:dyDescent="0.25">
      <c r="A1379" s="2">
        <f t="shared" si="750"/>
        <v>1329</v>
      </c>
      <c r="B1379" s="6">
        <f>A1379</f>
        <v>1329</v>
      </c>
      <c r="C1379" s="19" t="s">
        <v>2003</v>
      </c>
      <c r="D1379" s="4">
        <f t="shared" si="749"/>
        <v>6375982.5</v>
      </c>
      <c r="E1379" s="1">
        <f>SUM(F1379:K1379)</f>
        <v>1675582.4999999998</v>
      </c>
      <c r="F1379" s="1">
        <f>804*426.9</f>
        <v>343227.6</v>
      </c>
      <c r="G1379" s="1">
        <f>1693*426.9</f>
        <v>722741.7</v>
      </c>
      <c r="H1379" s="1">
        <f>390*426.9</f>
        <v>166491</v>
      </c>
      <c r="I1379" s="1">
        <f>571*426.9</f>
        <v>243759.9</v>
      </c>
      <c r="J1379" s="1">
        <f>467*426.9</f>
        <v>199362.3</v>
      </c>
      <c r="K1379" s="1">
        <v>0</v>
      </c>
      <c r="L1379" s="2">
        <v>0</v>
      </c>
      <c r="M1379" s="1">
        <v>0</v>
      </c>
      <c r="N1379" s="1">
        <v>400</v>
      </c>
      <c r="O1379" s="1">
        <f>N1379*7750</f>
        <v>3100000</v>
      </c>
      <c r="P1379" s="1">
        <v>0</v>
      </c>
      <c r="Q1379" s="1">
        <f>P1379*1400</f>
        <v>0</v>
      </c>
      <c r="R1379" s="1">
        <v>400</v>
      </c>
      <c r="S1379" s="1">
        <f>R1379*3751</f>
        <v>1500400</v>
      </c>
      <c r="T1379" s="1">
        <v>0</v>
      </c>
      <c r="U1379" s="1">
        <v>50000</v>
      </c>
      <c r="V1379" s="1">
        <v>0</v>
      </c>
      <c r="W1379" s="1">
        <v>50000</v>
      </c>
      <c r="X1379" s="1">
        <v>0</v>
      </c>
      <c r="Y1379" s="1">
        <v>0</v>
      </c>
      <c r="Z1379" s="1">
        <v>0</v>
      </c>
      <c r="AA1379" s="1">
        <v>0</v>
      </c>
      <c r="AB1379" s="1">
        <v>0</v>
      </c>
      <c r="AC1379" s="1">
        <v>0</v>
      </c>
      <c r="AD1379" s="1">
        <v>0</v>
      </c>
    </row>
    <row r="1380" spans="1:30" s="20" customFormat="1" ht="36" customHeight="1" x14ac:dyDescent="0.25">
      <c r="A1380" s="2">
        <f t="shared" si="750"/>
        <v>1330</v>
      </c>
      <c r="B1380" s="6">
        <f>A1380</f>
        <v>1330</v>
      </c>
      <c r="C1380" s="19" t="s">
        <v>2004</v>
      </c>
      <c r="D1380" s="4">
        <f t="shared" si="749"/>
        <v>5095228.5</v>
      </c>
      <c r="E1380" s="1">
        <f>SUM(F1380:K1380)</f>
        <v>1357657.5</v>
      </c>
      <c r="F1380" s="1">
        <f>804*345.9</f>
        <v>278103.59999999998</v>
      </c>
      <c r="G1380" s="1">
        <f>1693*345.9</f>
        <v>585608.69999999995</v>
      </c>
      <c r="H1380" s="1">
        <f>390*345.9</f>
        <v>134901</v>
      </c>
      <c r="I1380" s="1">
        <f>571*345.9</f>
        <v>197508.9</v>
      </c>
      <c r="J1380" s="1">
        <f>467*345.9</f>
        <v>161535.29999999999</v>
      </c>
      <c r="K1380" s="1">
        <v>0</v>
      </c>
      <c r="L1380" s="2">
        <v>0</v>
      </c>
      <c r="M1380" s="1">
        <v>0</v>
      </c>
      <c r="N1380" s="1">
        <v>314</v>
      </c>
      <c r="O1380" s="1">
        <f>N1380*7750</f>
        <v>2433500</v>
      </c>
      <c r="P1380" s="1">
        <v>0</v>
      </c>
      <c r="Q1380" s="1">
        <f>P1380*1400</f>
        <v>0</v>
      </c>
      <c r="R1380" s="1">
        <v>321</v>
      </c>
      <c r="S1380" s="1">
        <f>R1380*3751</f>
        <v>1204071</v>
      </c>
      <c r="T1380" s="1">
        <v>0</v>
      </c>
      <c r="U1380" s="1">
        <v>50000</v>
      </c>
      <c r="V1380" s="1">
        <v>0</v>
      </c>
      <c r="W1380" s="1">
        <v>50000</v>
      </c>
      <c r="X1380" s="1">
        <v>0</v>
      </c>
      <c r="Y1380" s="1">
        <v>0</v>
      </c>
      <c r="Z1380" s="1">
        <v>0</v>
      </c>
      <c r="AA1380" s="1">
        <v>0</v>
      </c>
      <c r="AB1380" s="1">
        <v>0</v>
      </c>
      <c r="AC1380" s="1">
        <v>0</v>
      </c>
      <c r="AD1380" s="1">
        <v>0</v>
      </c>
    </row>
    <row r="1381" spans="1:30" s="20" customFormat="1" ht="36" customHeight="1" x14ac:dyDescent="0.25">
      <c r="A1381" s="2">
        <f t="shared" si="750"/>
        <v>1331</v>
      </c>
      <c r="B1381" s="6">
        <f t="shared" si="748"/>
        <v>1331</v>
      </c>
      <c r="C1381" s="19" t="s">
        <v>2001</v>
      </c>
      <c r="D1381" s="4">
        <f t="shared" si="749"/>
        <v>10559356.5</v>
      </c>
      <c r="E1381" s="1">
        <f t="shared" si="751"/>
        <v>3071312.5</v>
      </c>
      <c r="F1381" s="1">
        <f>804*782.5</f>
        <v>629130</v>
      </c>
      <c r="G1381" s="1">
        <f>1693*782.5</f>
        <v>1324772.5</v>
      </c>
      <c r="H1381" s="1">
        <f>390*782.5</f>
        <v>305175</v>
      </c>
      <c r="I1381" s="1">
        <f>571*782.5</f>
        <v>446807.5</v>
      </c>
      <c r="J1381" s="1">
        <f>467*782.5</f>
        <v>365427.5</v>
      </c>
      <c r="K1381" s="1">
        <v>0</v>
      </c>
      <c r="L1381" s="2">
        <v>0</v>
      </c>
      <c r="M1381" s="1">
        <v>0</v>
      </c>
      <c r="N1381" s="1">
        <v>690</v>
      </c>
      <c r="O1381" s="1">
        <f t="shared" si="758"/>
        <v>5347500</v>
      </c>
      <c r="P1381" s="1">
        <v>0</v>
      </c>
      <c r="Q1381" s="1">
        <f t="shared" si="752"/>
        <v>0</v>
      </c>
      <c r="R1381" s="1">
        <v>544</v>
      </c>
      <c r="S1381" s="1">
        <f t="shared" si="753"/>
        <v>2040544</v>
      </c>
      <c r="T1381" s="1">
        <v>0</v>
      </c>
      <c r="U1381" s="1">
        <v>50000</v>
      </c>
      <c r="V1381" s="1">
        <v>0</v>
      </c>
      <c r="W1381" s="1">
        <v>50000</v>
      </c>
      <c r="X1381" s="1">
        <v>0</v>
      </c>
      <c r="Y1381" s="1">
        <v>0</v>
      </c>
      <c r="Z1381" s="1">
        <v>0</v>
      </c>
      <c r="AA1381" s="1">
        <v>0</v>
      </c>
      <c r="AB1381" s="1">
        <v>0</v>
      </c>
      <c r="AC1381" s="1">
        <v>0</v>
      </c>
      <c r="AD1381" s="1">
        <v>0</v>
      </c>
    </row>
    <row r="1382" spans="1:30" s="20" customFormat="1" ht="36" customHeight="1" x14ac:dyDescent="0.25">
      <c r="A1382" s="2">
        <f t="shared" si="750"/>
        <v>1332</v>
      </c>
      <c r="B1382" s="6">
        <f t="shared" si="748"/>
        <v>1332</v>
      </c>
      <c r="C1382" s="19" t="s">
        <v>2002</v>
      </c>
      <c r="D1382" s="4">
        <f t="shared" si="749"/>
        <v>10434530.5</v>
      </c>
      <c r="E1382" s="1">
        <f t="shared" si="751"/>
        <v>2996737.5</v>
      </c>
      <c r="F1382" s="1">
        <f>804*763.5</f>
        <v>613854</v>
      </c>
      <c r="G1382" s="1">
        <f>1693*763.5</f>
        <v>1292605.5</v>
      </c>
      <c r="H1382" s="1">
        <f>390*763.5</f>
        <v>297765</v>
      </c>
      <c r="I1382" s="1">
        <f>571*763.5</f>
        <v>435958.5</v>
      </c>
      <c r="J1382" s="1">
        <f>467*763.5</f>
        <v>356554.5</v>
      </c>
      <c r="K1382" s="1">
        <v>0</v>
      </c>
      <c r="L1382" s="2">
        <v>0</v>
      </c>
      <c r="M1382" s="1">
        <v>0</v>
      </c>
      <c r="N1382" s="1">
        <v>684</v>
      </c>
      <c r="O1382" s="1">
        <f t="shared" si="758"/>
        <v>5301000</v>
      </c>
      <c r="P1382" s="1">
        <v>0</v>
      </c>
      <c r="Q1382" s="1">
        <f t="shared" si="752"/>
        <v>0</v>
      </c>
      <c r="R1382" s="1">
        <v>543</v>
      </c>
      <c r="S1382" s="1">
        <f t="shared" si="753"/>
        <v>2036793</v>
      </c>
      <c r="T1382" s="1">
        <v>0</v>
      </c>
      <c r="U1382" s="1">
        <v>50000</v>
      </c>
      <c r="V1382" s="1">
        <v>0</v>
      </c>
      <c r="W1382" s="1">
        <v>50000</v>
      </c>
      <c r="X1382" s="1">
        <v>0</v>
      </c>
      <c r="Y1382" s="1">
        <v>0</v>
      </c>
      <c r="Z1382" s="1">
        <v>0</v>
      </c>
      <c r="AA1382" s="1">
        <v>0</v>
      </c>
      <c r="AB1382" s="1">
        <v>0</v>
      </c>
      <c r="AC1382" s="1">
        <v>0</v>
      </c>
      <c r="AD1382" s="1">
        <v>0</v>
      </c>
    </row>
    <row r="1383" spans="1:30" s="20" customFormat="1" ht="36" customHeight="1" x14ac:dyDescent="0.25">
      <c r="A1383" s="2">
        <f t="shared" si="750"/>
        <v>1333</v>
      </c>
      <c r="B1383" s="6">
        <f t="shared" si="748"/>
        <v>1333</v>
      </c>
      <c r="C1383" s="19" t="s">
        <v>729</v>
      </c>
      <c r="D1383" s="4">
        <f t="shared" si="749"/>
        <v>7498407</v>
      </c>
      <c r="E1383" s="1">
        <f t="shared" si="751"/>
        <v>1974275</v>
      </c>
      <c r="F1383" s="1">
        <f>804*503</f>
        <v>404412</v>
      </c>
      <c r="G1383" s="1">
        <f>1693*503</f>
        <v>851579</v>
      </c>
      <c r="H1383" s="1">
        <f>390*503</f>
        <v>196170</v>
      </c>
      <c r="I1383" s="1">
        <f>571*503</f>
        <v>287213</v>
      </c>
      <c r="J1383" s="1">
        <f>467*503</f>
        <v>234901</v>
      </c>
      <c r="K1383" s="1">
        <v>0</v>
      </c>
      <c r="L1383" s="2">
        <v>0</v>
      </c>
      <c r="M1383" s="1">
        <v>0</v>
      </c>
      <c r="N1383" s="1">
        <v>515</v>
      </c>
      <c r="O1383" s="1">
        <f t="shared" si="758"/>
        <v>3991250</v>
      </c>
      <c r="P1383" s="1">
        <v>0</v>
      </c>
      <c r="Q1383" s="1">
        <f t="shared" si="752"/>
        <v>0</v>
      </c>
      <c r="R1383" s="1">
        <v>382</v>
      </c>
      <c r="S1383" s="1">
        <f t="shared" si="753"/>
        <v>1432882</v>
      </c>
      <c r="T1383" s="1">
        <v>0</v>
      </c>
      <c r="U1383" s="1">
        <v>50000</v>
      </c>
      <c r="V1383" s="1">
        <v>0</v>
      </c>
      <c r="W1383" s="1">
        <v>50000</v>
      </c>
      <c r="X1383" s="1">
        <v>0</v>
      </c>
      <c r="Y1383" s="1">
        <v>0</v>
      </c>
      <c r="Z1383" s="1">
        <v>0</v>
      </c>
      <c r="AA1383" s="1">
        <v>0</v>
      </c>
      <c r="AB1383" s="1">
        <v>0</v>
      </c>
      <c r="AC1383" s="1">
        <v>0</v>
      </c>
      <c r="AD1383" s="1">
        <v>0</v>
      </c>
    </row>
    <row r="1384" spans="1:30" s="20" customFormat="1" ht="54.95" customHeight="1" x14ac:dyDescent="0.25">
      <c r="A1384" s="3"/>
      <c r="B1384" s="47" t="s">
        <v>1977</v>
      </c>
      <c r="C1384" s="48"/>
      <c r="D1384" s="4">
        <f>SUM(D1385)</f>
        <v>5404995</v>
      </c>
      <c r="E1384" s="4">
        <f t="shared" ref="E1384:AD1384" si="759">SUM(E1385)</f>
        <v>1635940.0000000002</v>
      </c>
      <c r="F1384" s="4">
        <f t="shared" si="759"/>
        <v>335107.20000000001</v>
      </c>
      <c r="G1384" s="4">
        <f t="shared" si="759"/>
        <v>705642.4</v>
      </c>
      <c r="H1384" s="4">
        <f t="shared" si="759"/>
        <v>162552</v>
      </c>
      <c r="I1384" s="4">
        <f t="shared" si="759"/>
        <v>237992.80000000002</v>
      </c>
      <c r="J1384" s="4">
        <f t="shared" si="759"/>
        <v>194645.6</v>
      </c>
      <c r="K1384" s="4">
        <f t="shared" si="759"/>
        <v>0</v>
      </c>
      <c r="L1384" s="17">
        <f t="shared" si="759"/>
        <v>0</v>
      </c>
      <c r="M1384" s="4">
        <f t="shared" si="759"/>
        <v>0</v>
      </c>
      <c r="N1384" s="4">
        <f t="shared" si="759"/>
        <v>300</v>
      </c>
      <c r="O1384" s="4">
        <f t="shared" si="759"/>
        <v>2325000</v>
      </c>
      <c r="P1384" s="4">
        <f t="shared" si="759"/>
        <v>0</v>
      </c>
      <c r="Q1384" s="4">
        <f t="shared" si="759"/>
        <v>0</v>
      </c>
      <c r="R1384" s="4">
        <f t="shared" si="759"/>
        <v>305</v>
      </c>
      <c r="S1384" s="4">
        <f t="shared" si="759"/>
        <v>1144055</v>
      </c>
      <c r="T1384" s="4">
        <f t="shared" si="759"/>
        <v>150000</v>
      </c>
      <c r="U1384" s="4">
        <f t="shared" si="759"/>
        <v>50000</v>
      </c>
      <c r="V1384" s="4">
        <f t="shared" si="759"/>
        <v>50000</v>
      </c>
      <c r="W1384" s="4">
        <f t="shared" si="759"/>
        <v>50000</v>
      </c>
      <c r="X1384" s="4">
        <f t="shared" si="759"/>
        <v>0</v>
      </c>
      <c r="Y1384" s="4">
        <f t="shared" si="759"/>
        <v>0</v>
      </c>
      <c r="Z1384" s="4">
        <f t="shared" si="759"/>
        <v>0</v>
      </c>
      <c r="AA1384" s="4">
        <f t="shared" si="759"/>
        <v>0</v>
      </c>
      <c r="AB1384" s="4">
        <f t="shared" si="759"/>
        <v>0</v>
      </c>
      <c r="AC1384" s="4">
        <f t="shared" si="759"/>
        <v>0</v>
      </c>
      <c r="AD1384" s="4">
        <f t="shared" si="759"/>
        <v>0</v>
      </c>
    </row>
    <row r="1385" spans="1:30" s="20" customFormat="1" ht="36" customHeight="1" x14ac:dyDescent="0.25">
      <c r="A1385" s="2">
        <f>ROW()-ROW($A$11)-40</f>
        <v>1334</v>
      </c>
      <c r="B1385" s="6">
        <f>A1385</f>
        <v>1334</v>
      </c>
      <c r="C1385" s="19" t="s">
        <v>730</v>
      </c>
      <c r="D1385" s="4">
        <f>E1385+M1385+O1385+Q1385+S1385+T1385+U1385+V1385+W1385+X1385+Z1385+AA1385+AB1385+AC1385+AD1385</f>
        <v>5404995</v>
      </c>
      <c r="E1385" s="1">
        <f>SUM(F1385:K1385)</f>
        <v>1635940.0000000002</v>
      </c>
      <c r="F1385" s="1">
        <f>804*416.8</f>
        <v>335107.20000000001</v>
      </c>
      <c r="G1385" s="1">
        <f>1693*416.8</f>
        <v>705642.4</v>
      </c>
      <c r="H1385" s="1">
        <f>390*416.8</f>
        <v>162552</v>
      </c>
      <c r="I1385" s="1">
        <f>571*416.8</f>
        <v>237992.80000000002</v>
      </c>
      <c r="J1385" s="1">
        <f>467*416.8</f>
        <v>194645.6</v>
      </c>
      <c r="K1385" s="1">
        <v>0</v>
      </c>
      <c r="L1385" s="2">
        <v>0</v>
      </c>
      <c r="M1385" s="1">
        <v>0</v>
      </c>
      <c r="N1385" s="1">
        <v>300</v>
      </c>
      <c r="O1385" s="1">
        <f>N1385*7750</f>
        <v>2325000</v>
      </c>
      <c r="P1385" s="1">
        <v>0</v>
      </c>
      <c r="Q1385" s="1">
        <f>P1385*1400</f>
        <v>0</v>
      </c>
      <c r="R1385" s="1">
        <v>305</v>
      </c>
      <c r="S1385" s="1">
        <f>R1385*3751</f>
        <v>1144055</v>
      </c>
      <c r="T1385" s="1">
        <v>150000</v>
      </c>
      <c r="U1385" s="1">
        <v>50000</v>
      </c>
      <c r="V1385" s="1">
        <v>50000</v>
      </c>
      <c r="W1385" s="1">
        <v>50000</v>
      </c>
      <c r="X1385" s="1">
        <v>0</v>
      </c>
      <c r="Y1385" s="1">
        <v>0</v>
      </c>
      <c r="Z1385" s="1">
        <v>0</v>
      </c>
      <c r="AA1385" s="1">
        <v>0</v>
      </c>
      <c r="AB1385" s="1">
        <v>0</v>
      </c>
      <c r="AC1385" s="1">
        <v>0</v>
      </c>
      <c r="AD1385" s="1">
        <v>0</v>
      </c>
    </row>
    <row r="1386" spans="1:30" s="20" customFormat="1" ht="54.95" customHeight="1" x14ac:dyDescent="0.25">
      <c r="A1386" s="3"/>
      <c r="B1386" s="47" t="s">
        <v>1978</v>
      </c>
      <c r="C1386" s="48"/>
      <c r="D1386" s="4">
        <f>SUM(D1387:D1403)</f>
        <v>90395385.699999988</v>
      </c>
      <c r="E1386" s="4">
        <f t="shared" ref="E1386:AD1386" si="760">SUM(E1387:E1403)</f>
        <v>35145914.700000003</v>
      </c>
      <c r="F1386" s="4">
        <f t="shared" si="760"/>
        <v>8842070.4000000004</v>
      </c>
      <c r="G1386" s="4">
        <f t="shared" si="760"/>
        <v>16835022.699999999</v>
      </c>
      <c r="H1386" s="4">
        <f t="shared" si="760"/>
        <v>4309032</v>
      </c>
      <c r="I1386" s="4">
        <f t="shared" si="760"/>
        <v>0</v>
      </c>
      <c r="J1386" s="4">
        <f t="shared" si="760"/>
        <v>5159789.5999999996</v>
      </c>
      <c r="K1386" s="4">
        <f t="shared" si="760"/>
        <v>0</v>
      </c>
      <c r="L1386" s="17">
        <f t="shared" si="760"/>
        <v>0</v>
      </c>
      <c r="M1386" s="4">
        <f t="shared" si="760"/>
        <v>0</v>
      </c>
      <c r="N1386" s="4">
        <f t="shared" si="760"/>
        <v>4047</v>
      </c>
      <c r="O1386" s="4">
        <f t="shared" si="760"/>
        <v>26301010</v>
      </c>
      <c r="P1386" s="4">
        <f t="shared" si="760"/>
        <v>0</v>
      </c>
      <c r="Q1386" s="4">
        <f t="shared" si="760"/>
        <v>0</v>
      </c>
      <c r="R1386" s="4">
        <f t="shared" si="760"/>
        <v>7211</v>
      </c>
      <c r="S1386" s="4">
        <f t="shared" si="760"/>
        <v>27048461</v>
      </c>
      <c r="T1386" s="4">
        <f t="shared" si="760"/>
        <v>600000</v>
      </c>
      <c r="U1386" s="4">
        <f t="shared" si="760"/>
        <v>850000</v>
      </c>
      <c r="V1386" s="4">
        <f t="shared" si="760"/>
        <v>0</v>
      </c>
      <c r="W1386" s="4">
        <f t="shared" si="760"/>
        <v>450000</v>
      </c>
      <c r="X1386" s="4">
        <f t="shared" si="760"/>
        <v>0</v>
      </c>
      <c r="Y1386" s="4">
        <f t="shared" si="760"/>
        <v>0</v>
      </c>
      <c r="Z1386" s="4">
        <f t="shared" si="760"/>
        <v>0</v>
      </c>
      <c r="AA1386" s="4">
        <f t="shared" si="760"/>
        <v>0</v>
      </c>
      <c r="AB1386" s="4">
        <f t="shared" si="760"/>
        <v>0</v>
      </c>
      <c r="AC1386" s="4">
        <f t="shared" si="760"/>
        <v>0</v>
      </c>
      <c r="AD1386" s="4">
        <f t="shared" si="760"/>
        <v>0</v>
      </c>
    </row>
    <row r="1387" spans="1:30" s="20" customFormat="1" ht="36" customHeight="1" x14ac:dyDescent="0.25">
      <c r="A1387" s="2">
        <f>ROW()-ROW($A$11)-41</f>
        <v>1335</v>
      </c>
      <c r="B1387" s="6">
        <f t="shared" ref="B1387:B1393" si="761">A1387</f>
        <v>1335</v>
      </c>
      <c r="C1387" s="19" t="s">
        <v>731</v>
      </c>
      <c r="D1387" s="4">
        <f t="shared" ref="D1387:D1403" si="762">E1387+M1387+O1387+Q1387+S1387+T1387+U1387+V1387+W1387+X1387+Z1387+AA1387+AB1387+AC1387+AD1387</f>
        <v>4505870</v>
      </c>
      <c r="E1387" s="1">
        <f>SUM(F1387:K1387)</f>
        <v>4455870</v>
      </c>
      <c r="F1387" s="1">
        <v>0</v>
      </c>
      <c r="G1387" s="1">
        <f>1693*1747.4</f>
        <v>2958348.2</v>
      </c>
      <c r="H1387" s="1">
        <f>390*1747.4</f>
        <v>681486</v>
      </c>
      <c r="I1387" s="1">
        <v>0</v>
      </c>
      <c r="J1387" s="1">
        <f>467*1747.4</f>
        <v>816035.8</v>
      </c>
      <c r="K1387" s="1">
        <v>0</v>
      </c>
      <c r="L1387" s="2">
        <v>0</v>
      </c>
      <c r="M1387" s="1">
        <v>0</v>
      </c>
      <c r="N1387" s="1">
        <v>0</v>
      </c>
      <c r="O1387" s="1">
        <v>0</v>
      </c>
      <c r="P1387" s="1">
        <v>0</v>
      </c>
      <c r="Q1387" s="1">
        <f>P1387*1400</f>
        <v>0</v>
      </c>
      <c r="R1387" s="1">
        <v>0</v>
      </c>
      <c r="S1387" s="1">
        <f>R1387*3751</f>
        <v>0</v>
      </c>
      <c r="T1387" s="1">
        <v>0</v>
      </c>
      <c r="U1387" s="1">
        <v>50000</v>
      </c>
      <c r="V1387" s="1">
        <v>0</v>
      </c>
      <c r="W1387" s="1">
        <v>0</v>
      </c>
      <c r="X1387" s="1">
        <v>0</v>
      </c>
      <c r="Y1387" s="1">
        <v>0</v>
      </c>
      <c r="Z1387" s="1">
        <v>0</v>
      </c>
      <c r="AA1387" s="1">
        <v>0</v>
      </c>
      <c r="AB1387" s="1">
        <v>0</v>
      </c>
      <c r="AC1387" s="1">
        <v>0</v>
      </c>
      <c r="AD1387" s="1">
        <v>0</v>
      </c>
    </row>
    <row r="1388" spans="1:30" s="20" customFormat="1" ht="36" customHeight="1" x14ac:dyDescent="0.25">
      <c r="A1388" s="2">
        <f t="shared" ref="A1388:A1403" si="763">ROW()-ROW($A$11)-41</f>
        <v>1336</v>
      </c>
      <c r="B1388" s="6">
        <f t="shared" si="761"/>
        <v>1336</v>
      </c>
      <c r="C1388" s="19" t="s">
        <v>1638</v>
      </c>
      <c r="D1388" s="4">
        <f t="shared" si="762"/>
        <v>2248548.6</v>
      </c>
      <c r="E1388" s="1">
        <f t="shared" ref="E1388:E1403" si="764">SUM(F1388:K1388)</f>
        <v>529353.6</v>
      </c>
      <c r="F1388" s="1">
        <f>804*658.4</f>
        <v>529353.6</v>
      </c>
      <c r="G1388" s="1">
        <v>0</v>
      </c>
      <c r="H1388" s="1">
        <v>0</v>
      </c>
      <c r="I1388" s="1">
        <v>0</v>
      </c>
      <c r="J1388" s="1">
        <v>0</v>
      </c>
      <c r="K1388" s="1">
        <v>0</v>
      </c>
      <c r="L1388" s="2">
        <v>0</v>
      </c>
      <c r="M1388" s="1">
        <v>0</v>
      </c>
      <c r="N1388" s="1">
        <v>0</v>
      </c>
      <c r="O1388" s="1">
        <v>0</v>
      </c>
      <c r="P1388" s="1">
        <v>0</v>
      </c>
      <c r="Q1388" s="1">
        <f t="shared" ref="Q1388:Q1403" si="765">P1388*1400</f>
        <v>0</v>
      </c>
      <c r="R1388" s="1">
        <v>445</v>
      </c>
      <c r="S1388" s="1">
        <f>R1388*3751</f>
        <v>1669195</v>
      </c>
      <c r="T1388" s="1">
        <v>0</v>
      </c>
      <c r="U1388" s="1">
        <v>50000</v>
      </c>
      <c r="V1388" s="1">
        <v>0</v>
      </c>
      <c r="W1388" s="1">
        <v>0</v>
      </c>
      <c r="X1388" s="1">
        <v>0</v>
      </c>
      <c r="Y1388" s="1">
        <v>0</v>
      </c>
      <c r="Z1388" s="1">
        <v>0</v>
      </c>
      <c r="AA1388" s="1">
        <v>0</v>
      </c>
      <c r="AB1388" s="1">
        <v>0</v>
      </c>
      <c r="AC1388" s="1">
        <v>0</v>
      </c>
      <c r="AD1388" s="1">
        <v>0</v>
      </c>
    </row>
    <row r="1389" spans="1:30" s="20" customFormat="1" ht="36" customHeight="1" x14ac:dyDescent="0.25">
      <c r="A1389" s="2">
        <f t="shared" si="763"/>
        <v>1337</v>
      </c>
      <c r="B1389" s="6">
        <f>A1389</f>
        <v>1337</v>
      </c>
      <c r="C1389" s="19" t="s">
        <v>1639</v>
      </c>
      <c r="D1389" s="4">
        <f t="shared" si="762"/>
        <v>7787541</v>
      </c>
      <c r="E1389" s="1">
        <f t="shared" si="764"/>
        <v>2185131</v>
      </c>
      <c r="F1389" s="1">
        <f>804*651.5</f>
        <v>523806</v>
      </c>
      <c r="G1389" s="1">
        <f>1693*651.5</f>
        <v>1102989.5</v>
      </c>
      <c r="H1389" s="1">
        <f>390*651.5</f>
        <v>254085</v>
      </c>
      <c r="I1389" s="1">
        <v>0</v>
      </c>
      <c r="J1389" s="1">
        <f>467*651.5</f>
        <v>304250.5</v>
      </c>
      <c r="K1389" s="1">
        <v>0</v>
      </c>
      <c r="L1389" s="2">
        <v>0</v>
      </c>
      <c r="M1389" s="1">
        <v>0</v>
      </c>
      <c r="N1389" s="1">
        <v>518</v>
      </c>
      <c r="O1389" s="1">
        <f>N1389*7750</f>
        <v>4014500</v>
      </c>
      <c r="P1389" s="1">
        <v>0</v>
      </c>
      <c r="Q1389" s="1">
        <f t="shared" si="765"/>
        <v>0</v>
      </c>
      <c r="R1389" s="1">
        <v>410</v>
      </c>
      <c r="S1389" s="1">
        <f>R1389*3751</f>
        <v>1537910</v>
      </c>
      <c r="T1389" s="1">
        <v>0</v>
      </c>
      <c r="U1389" s="1">
        <v>50000</v>
      </c>
      <c r="V1389" s="1">
        <v>0</v>
      </c>
      <c r="W1389" s="1">
        <v>0</v>
      </c>
      <c r="X1389" s="1">
        <v>0</v>
      </c>
      <c r="Y1389" s="1">
        <v>0</v>
      </c>
      <c r="Z1389" s="1">
        <v>0</v>
      </c>
      <c r="AA1389" s="1">
        <v>0</v>
      </c>
      <c r="AB1389" s="1">
        <v>0</v>
      </c>
      <c r="AC1389" s="1">
        <v>0</v>
      </c>
      <c r="AD1389" s="1">
        <v>0</v>
      </c>
    </row>
    <row r="1390" spans="1:30" s="20" customFormat="1" ht="36" customHeight="1" x14ac:dyDescent="0.25">
      <c r="A1390" s="2">
        <f t="shared" si="763"/>
        <v>1338</v>
      </c>
      <c r="B1390" s="6">
        <f t="shared" si="761"/>
        <v>1338</v>
      </c>
      <c r="C1390" s="19" t="s">
        <v>732</v>
      </c>
      <c r="D1390" s="4">
        <f t="shared" si="762"/>
        <v>5273214.5999999996</v>
      </c>
      <c r="E1390" s="1">
        <f t="shared" si="764"/>
        <v>1190334.5999999999</v>
      </c>
      <c r="F1390" s="1">
        <f>804*354.9</f>
        <v>285339.59999999998</v>
      </c>
      <c r="G1390" s="1">
        <f>1693*354.9</f>
        <v>600845.69999999995</v>
      </c>
      <c r="H1390" s="1">
        <f>390*354.9</f>
        <v>138411</v>
      </c>
      <c r="I1390" s="1">
        <v>0</v>
      </c>
      <c r="J1390" s="1">
        <f>467*354.9</f>
        <v>165738.29999999999</v>
      </c>
      <c r="K1390" s="1">
        <v>0</v>
      </c>
      <c r="L1390" s="2">
        <v>0</v>
      </c>
      <c r="M1390" s="1">
        <v>0</v>
      </c>
      <c r="N1390" s="1">
        <v>330</v>
      </c>
      <c r="O1390" s="1">
        <f>N1390*7750</f>
        <v>2557500</v>
      </c>
      <c r="P1390" s="1">
        <v>0</v>
      </c>
      <c r="Q1390" s="1">
        <f t="shared" si="765"/>
        <v>0</v>
      </c>
      <c r="R1390" s="1">
        <v>380</v>
      </c>
      <c r="S1390" s="1">
        <f t="shared" ref="S1390:S1396" si="766">R1390*3751</f>
        <v>1425380</v>
      </c>
      <c r="T1390" s="1">
        <v>0</v>
      </c>
      <c r="U1390" s="1">
        <v>50000</v>
      </c>
      <c r="V1390" s="1">
        <v>0</v>
      </c>
      <c r="W1390" s="1">
        <v>50000</v>
      </c>
      <c r="X1390" s="1">
        <v>0</v>
      </c>
      <c r="Y1390" s="1">
        <v>0</v>
      </c>
      <c r="Z1390" s="1">
        <v>0</v>
      </c>
      <c r="AA1390" s="1">
        <v>0</v>
      </c>
      <c r="AB1390" s="1">
        <v>0</v>
      </c>
      <c r="AC1390" s="1">
        <v>0</v>
      </c>
      <c r="AD1390" s="1">
        <v>0</v>
      </c>
    </row>
    <row r="1391" spans="1:30" s="20" customFormat="1" ht="36" customHeight="1" x14ac:dyDescent="0.25">
      <c r="A1391" s="2">
        <f t="shared" si="763"/>
        <v>1339</v>
      </c>
      <c r="B1391" s="6">
        <f t="shared" si="761"/>
        <v>1339</v>
      </c>
      <c r="C1391" s="19" t="s">
        <v>733</v>
      </c>
      <c r="D1391" s="4">
        <f t="shared" si="762"/>
        <v>6565381.2000000002</v>
      </c>
      <c r="E1391" s="1">
        <f t="shared" si="764"/>
        <v>819382.20000000007</v>
      </c>
      <c r="F1391" s="1">
        <f>804*244.3</f>
        <v>196417.2</v>
      </c>
      <c r="G1391" s="1">
        <f>1693*244.3</f>
        <v>413599.9</v>
      </c>
      <c r="H1391" s="1">
        <f>390*244.3</f>
        <v>95277</v>
      </c>
      <c r="I1391" s="1">
        <v>0</v>
      </c>
      <c r="J1391" s="1">
        <f>467*244.3</f>
        <v>114088.1</v>
      </c>
      <c r="K1391" s="1">
        <v>0</v>
      </c>
      <c r="L1391" s="2">
        <v>0</v>
      </c>
      <c r="M1391" s="1">
        <v>0</v>
      </c>
      <c r="N1391" s="1">
        <v>487</v>
      </c>
      <c r="O1391" s="1">
        <f>N1391*7750</f>
        <v>3774250</v>
      </c>
      <c r="P1391" s="1">
        <v>0</v>
      </c>
      <c r="Q1391" s="1">
        <f t="shared" si="765"/>
        <v>0</v>
      </c>
      <c r="R1391" s="1">
        <v>499</v>
      </c>
      <c r="S1391" s="1">
        <f t="shared" si="766"/>
        <v>1871749</v>
      </c>
      <c r="T1391" s="1">
        <v>0</v>
      </c>
      <c r="U1391" s="1">
        <v>50000</v>
      </c>
      <c r="V1391" s="1">
        <v>0</v>
      </c>
      <c r="W1391" s="1">
        <v>50000</v>
      </c>
      <c r="X1391" s="1">
        <v>0</v>
      </c>
      <c r="Y1391" s="1">
        <v>0</v>
      </c>
      <c r="Z1391" s="1">
        <v>0</v>
      </c>
      <c r="AA1391" s="1">
        <v>0</v>
      </c>
      <c r="AB1391" s="1">
        <v>0</v>
      </c>
      <c r="AC1391" s="1">
        <v>0</v>
      </c>
      <c r="AD1391" s="1">
        <v>0</v>
      </c>
    </row>
    <row r="1392" spans="1:30" s="20" customFormat="1" ht="36" customHeight="1" x14ac:dyDescent="0.25">
      <c r="A1392" s="2">
        <f t="shared" si="763"/>
        <v>1340</v>
      </c>
      <c r="B1392" s="6">
        <f>A1392</f>
        <v>1340</v>
      </c>
      <c r="C1392" s="19" t="s">
        <v>1640</v>
      </c>
      <c r="D1392" s="4">
        <f t="shared" si="762"/>
        <v>447176</v>
      </c>
      <c r="E1392" s="1">
        <f t="shared" si="764"/>
        <v>397176</v>
      </c>
      <c r="F1392" s="1">
        <f>804*494</f>
        <v>397176</v>
      </c>
      <c r="G1392" s="1">
        <v>0</v>
      </c>
      <c r="H1392" s="1">
        <v>0</v>
      </c>
      <c r="I1392" s="1">
        <v>0</v>
      </c>
      <c r="J1392" s="1">
        <f>467*0</f>
        <v>0</v>
      </c>
      <c r="K1392" s="1">
        <v>0</v>
      </c>
      <c r="L1392" s="2">
        <v>0</v>
      </c>
      <c r="M1392" s="1">
        <v>0</v>
      </c>
      <c r="N1392" s="1">
        <v>0</v>
      </c>
      <c r="O1392" s="1">
        <v>0</v>
      </c>
      <c r="P1392" s="1">
        <v>0</v>
      </c>
      <c r="Q1392" s="1">
        <f t="shared" si="765"/>
        <v>0</v>
      </c>
      <c r="R1392" s="1">
        <v>0</v>
      </c>
      <c r="S1392" s="1">
        <f t="shared" si="766"/>
        <v>0</v>
      </c>
      <c r="T1392" s="1">
        <v>0</v>
      </c>
      <c r="U1392" s="1">
        <v>50000</v>
      </c>
      <c r="V1392" s="1">
        <v>0</v>
      </c>
      <c r="W1392" s="1">
        <v>0</v>
      </c>
      <c r="X1392" s="1">
        <v>0</v>
      </c>
      <c r="Y1392" s="1">
        <v>0</v>
      </c>
      <c r="Z1392" s="1">
        <v>0</v>
      </c>
      <c r="AA1392" s="1">
        <v>0</v>
      </c>
      <c r="AB1392" s="1">
        <v>0</v>
      </c>
      <c r="AC1392" s="1">
        <v>0</v>
      </c>
      <c r="AD1392" s="1">
        <v>0</v>
      </c>
    </row>
    <row r="1393" spans="1:30" s="20" customFormat="1" ht="36" customHeight="1" x14ac:dyDescent="0.25">
      <c r="A1393" s="2">
        <f t="shared" si="763"/>
        <v>1341</v>
      </c>
      <c r="B1393" s="6">
        <f t="shared" si="761"/>
        <v>1341</v>
      </c>
      <c r="C1393" s="19" t="s">
        <v>734</v>
      </c>
      <c r="D1393" s="4">
        <f t="shared" si="762"/>
        <v>1680502.2</v>
      </c>
      <c r="E1393" s="1">
        <f t="shared" si="764"/>
        <v>218929.2</v>
      </c>
      <c r="F1393" s="1">
        <f>804*272.3</f>
        <v>218929.2</v>
      </c>
      <c r="G1393" s="1">
        <v>0</v>
      </c>
      <c r="H1393" s="1">
        <v>0</v>
      </c>
      <c r="I1393" s="1">
        <v>0</v>
      </c>
      <c r="J1393" s="1">
        <v>0</v>
      </c>
      <c r="K1393" s="1">
        <v>0</v>
      </c>
      <c r="L1393" s="2">
        <v>0</v>
      </c>
      <c r="M1393" s="1">
        <v>0</v>
      </c>
      <c r="N1393" s="1">
        <v>0</v>
      </c>
      <c r="O1393" s="1">
        <v>0</v>
      </c>
      <c r="P1393" s="1">
        <v>0</v>
      </c>
      <c r="Q1393" s="1">
        <f t="shared" si="765"/>
        <v>0</v>
      </c>
      <c r="R1393" s="1">
        <v>323</v>
      </c>
      <c r="S1393" s="1">
        <f t="shared" si="766"/>
        <v>1211573</v>
      </c>
      <c r="T1393" s="1">
        <v>150000</v>
      </c>
      <c r="U1393" s="1">
        <v>50000</v>
      </c>
      <c r="V1393" s="1">
        <v>0</v>
      </c>
      <c r="W1393" s="1">
        <v>50000</v>
      </c>
      <c r="X1393" s="1">
        <v>0</v>
      </c>
      <c r="Y1393" s="1">
        <v>0</v>
      </c>
      <c r="Z1393" s="1">
        <v>0</v>
      </c>
      <c r="AA1393" s="1">
        <v>0</v>
      </c>
      <c r="AB1393" s="1">
        <v>0</v>
      </c>
      <c r="AC1393" s="1">
        <v>0</v>
      </c>
      <c r="AD1393" s="1">
        <v>0</v>
      </c>
    </row>
    <row r="1394" spans="1:30" s="20" customFormat="1" ht="36" customHeight="1" x14ac:dyDescent="0.25">
      <c r="A1394" s="2">
        <f t="shared" si="763"/>
        <v>1342</v>
      </c>
      <c r="B1394" s="6">
        <f t="shared" ref="B1394:B1398" si="767">A1394</f>
        <v>1342</v>
      </c>
      <c r="C1394" s="19" t="s">
        <v>735</v>
      </c>
      <c r="D1394" s="4">
        <f t="shared" si="762"/>
        <v>1679859</v>
      </c>
      <c r="E1394" s="1">
        <f t="shared" si="764"/>
        <v>218286</v>
      </c>
      <c r="F1394" s="1">
        <f>804*271.5</f>
        <v>218286</v>
      </c>
      <c r="G1394" s="1">
        <v>0</v>
      </c>
      <c r="H1394" s="1">
        <v>0</v>
      </c>
      <c r="I1394" s="1">
        <v>0</v>
      </c>
      <c r="J1394" s="1">
        <v>0</v>
      </c>
      <c r="K1394" s="1">
        <v>0</v>
      </c>
      <c r="L1394" s="2">
        <v>0</v>
      </c>
      <c r="M1394" s="1">
        <v>0</v>
      </c>
      <c r="N1394" s="1">
        <v>0</v>
      </c>
      <c r="O1394" s="1">
        <v>0</v>
      </c>
      <c r="P1394" s="1">
        <v>0</v>
      </c>
      <c r="Q1394" s="1">
        <f t="shared" si="765"/>
        <v>0</v>
      </c>
      <c r="R1394" s="1">
        <v>323</v>
      </c>
      <c r="S1394" s="1">
        <f t="shared" si="766"/>
        <v>1211573</v>
      </c>
      <c r="T1394" s="1">
        <v>150000</v>
      </c>
      <c r="U1394" s="1">
        <v>50000</v>
      </c>
      <c r="V1394" s="1">
        <v>0</v>
      </c>
      <c r="W1394" s="1">
        <v>50000</v>
      </c>
      <c r="X1394" s="1">
        <v>0</v>
      </c>
      <c r="Y1394" s="1">
        <v>0</v>
      </c>
      <c r="Z1394" s="1">
        <v>0</v>
      </c>
      <c r="AA1394" s="1">
        <v>0</v>
      </c>
      <c r="AB1394" s="1">
        <v>0</v>
      </c>
      <c r="AC1394" s="1">
        <v>0</v>
      </c>
      <c r="AD1394" s="1">
        <v>0</v>
      </c>
    </row>
    <row r="1395" spans="1:30" s="20" customFormat="1" ht="36" customHeight="1" x14ac:dyDescent="0.25">
      <c r="A1395" s="2">
        <f t="shared" si="763"/>
        <v>1343</v>
      </c>
      <c r="B1395" s="6">
        <f t="shared" si="767"/>
        <v>1343</v>
      </c>
      <c r="C1395" s="19" t="s">
        <v>739</v>
      </c>
      <c r="D1395" s="4">
        <f t="shared" si="762"/>
        <v>4567156.9000000004</v>
      </c>
      <c r="E1395" s="1">
        <f t="shared" si="764"/>
        <v>601115.89999999991</v>
      </c>
      <c r="F1395" s="1">
        <f>804*361.9</f>
        <v>290967.59999999998</v>
      </c>
      <c r="G1395" s="1">
        <v>0</v>
      </c>
      <c r="H1395" s="1">
        <f>390*361.9</f>
        <v>141141</v>
      </c>
      <c r="I1395" s="1">
        <v>0</v>
      </c>
      <c r="J1395" s="1">
        <f>467*361.9</f>
        <v>169007.3</v>
      </c>
      <c r="K1395" s="1">
        <v>0</v>
      </c>
      <c r="L1395" s="2">
        <v>0</v>
      </c>
      <c r="M1395" s="1">
        <v>0</v>
      </c>
      <c r="N1395" s="1">
        <v>237</v>
      </c>
      <c r="O1395" s="1">
        <f>N1395*7750</f>
        <v>1836750</v>
      </c>
      <c r="P1395" s="1">
        <v>0</v>
      </c>
      <c r="Q1395" s="1">
        <f t="shared" si="765"/>
        <v>0</v>
      </c>
      <c r="R1395" s="1">
        <v>541</v>
      </c>
      <c r="S1395" s="1">
        <f t="shared" si="766"/>
        <v>2029291</v>
      </c>
      <c r="T1395" s="1">
        <v>0</v>
      </c>
      <c r="U1395" s="1">
        <v>50000</v>
      </c>
      <c r="V1395" s="1">
        <v>0</v>
      </c>
      <c r="W1395" s="1">
        <v>50000</v>
      </c>
      <c r="X1395" s="1">
        <v>0</v>
      </c>
      <c r="Y1395" s="1">
        <v>0</v>
      </c>
      <c r="Z1395" s="1">
        <v>0</v>
      </c>
      <c r="AA1395" s="1">
        <v>0</v>
      </c>
      <c r="AB1395" s="1">
        <v>0</v>
      </c>
      <c r="AC1395" s="1">
        <v>0</v>
      </c>
      <c r="AD1395" s="1">
        <v>0</v>
      </c>
    </row>
    <row r="1396" spans="1:30" s="20" customFormat="1" ht="36" customHeight="1" x14ac:dyDescent="0.25">
      <c r="A1396" s="2">
        <f t="shared" si="763"/>
        <v>1344</v>
      </c>
      <c r="B1396" s="6">
        <f t="shared" si="767"/>
        <v>1344</v>
      </c>
      <c r="C1396" s="19" t="s">
        <v>740</v>
      </c>
      <c r="D1396" s="4">
        <f t="shared" si="762"/>
        <v>4949551.9000000004</v>
      </c>
      <c r="E1396" s="1">
        <f t="shared" si="764"/>
        <v>607759.89999999991</v>
      </c>
      <c r="F1396" s="1">
        <f>804*365.9</f>
        <v>294183.59999999998</v>
      </c>
      <c r="G1396" s="1">
        <v>0</v>
      </c>
      <c r="H1396" s="1">
        <f>390*365.9</f>
        <v>142701</v>
      </c>
      <c r="I1396" s="1">
        <v>0</v>
      </c>
      <c r="J1396" s="1">
        <f>467*365.9</f>
        <v>170875.3</v>
      </c>
      <c r="K1396" s="1">
        <v>0</v>
      </c>
      <c r="L1396" s="2">
        <v>0</v>
      </c>
      <c r="M1396" s="1">
        <v>0</v>
      </c>
      <c r="N1396" s="1">
        <v>285</v>
      </c>
      <c r="O1396" s="1">
        <f>N1396*7750</f>
        <v>2208750</v>
      </c>
      <c r="P1396" s="1">
        <v>0</v>
      </c>
      <c r="Q1396" s="1">
        <f t="shared" si="765"/>
        <v>0</v>
      </c>
      <c r="R1396" s="1">
        <v>542</v>
      </c>
      <c r="S1396" s="1">
        <f t="shared" si="766"/>
        <v>2033042</v>
      </c>
      <c r="T1396" s="1">
        <v>0</v>
      </c>
      <c r="U1396" s="1">
        <v>50000</v>
      </c>
      <c r="V1396" s="1">
        <v>0</v>
      </c>
      <c r="W1396" s="1">
        <v>50000</v>
      </c>
      <c r="X1396" s="1">
        <v>0</v>
      </c>
      <c r="Y1396" s="1">
        <v>0</v>
      </c>
      <c r="Z1396" s="1">
        <v>0</v>
      </c>
      <c r="AA1396" s="1">
        <v>0</v>
      </c>
      <c r="AB1396" s="1">
        <v>0</v>
      </c>
      <c r="AC1396" s="1">
        <v>0</v>
      </c>
      <c r="AD1396" s="1">
        <v>0</v>
      </c>
    </row>
    <row r="1397" spans="1:30" s="20" customFormat="1" ht="36" customHeight="1" x14ac:dyDescent="0.25">
      <c r="A1397" s="2">
        <f t="shared" si="763"/>
        <v>1345</v>
      </c>
      <c r="B1397" s="6">
        <f t="shared" si="767"/>
        <v>1345</v>
      </c>
      <c r="C1397" s="19" t="s">
        <v>741</v>
      </c>
      <c r="D1397" s="4">
        <f t="shared" si="762"/>
        <v>1812930</v>
      </c>
      <c r="E1397" s="1">
        <f t="shared" si="764"/>
        <v>0</v>
      </c>
      <c r="F1397" s="1">
        <v>0</v>
      </c>
      <c r="G1397" s="1">
        <v>0</v>
      </c>
      <c r="H1397" s="1">
        <v>0</v>
      </c>
      <c r="I1397" s="1">
        <v>0</v>
      </c>
      <c r="J1397" s="1">
        <v>0</v>
      </c>
      <c r="K1397" s="1">
        <v>0</v>
      </c>
      <c r="L1397" s="2">
        <v>0</v>
      </c>
      <c r="M1397" s="1">
        <v>0</v>
      </c>
      <c r="N1397" s="1">
        <v>0</v>
      </c>
      <c r="O1397" s="1">
        <v>0</v>
      </c>
      <c r="P1397" s="1">
        <v>0</v>
      </c>
      <c r="Q1397" s="1">
        <f t="shared" si="765"/>
        <v>0</v>
      </c>
      <c r="R1397" s="1">
        <v>430</v>
      </c>
      <c r="S1397" s="1">
        <f>R1397*3751</f>
        <v>1612930</v>
      </c>
      <c r="T1397" s="1">
        <v>150000</v>
      </c>
      <c r="U1397" s="1">
        <v>50000</v>
      </c>
      <c r="V1397" s="1">
        <v>0</v>
      </c>
      <c r="W1397" s="1">
        <v>0</v>
      </c>
      <c r="X1397" s="1">
        <v>0</v>
      </c>
      <c r="Y1397" s="1">
        <v>0</v>
      </c>
      <c r="Z1397" s="1">
        <v>0</v>
      </c>
      <c r="AA1397" s="1">
        <v>0</v>
      </c>
      <c r="AB1397" s="1">
        <v>0</v>
      </c>
      <c r="AC1397" s="1">
        <v>0</v>
      </c>
      <c r="AD1397" s="1">
        <v>0</v>
      </c>
    </row>
    <row r="1398" spans="1:30" s="20" customFormat="1" ht="36" customHeight="1" x14ac:dyDescent="0.25">
      <c r="A1398" s="2">
        <f t="shared" si="763"/>
        <v>1346</v>
      </c>
      <c r="B1398" s="6">
        <f t="shared" si="767"/>
        <v>1346</v>
      </c>
      <c r="C1398" s="19" t="s">
        <v>742</v>
      </c>
      <c r="D1398" s="4">
        <f t="shared" si="762"/>
        <v>5206793.0999999996</v>
      </c>
      <c r="E1398" s="1">
        <f t="shared" si="764"/>
        <v>626363.10000000009</v>
      </c>
      <c r="F1398" s="1">
        <f>804*377.1</f>
        <v>303188.40000000002</v>
      </c>
      <c r="G1398" s="1">
        <v>0</v>
      </c>
      <c r="H1398" s="1">
        <f>390*377.1</f>
        <v>147069</v>
      </c>
      <c r="I1398" s="1">
        <v>0</v>
      </c>
      <c r="J1398" s="1">
        <f>467*377.1</f>
        <v>176105.7</v>
      </c>
      <c r="K1398" s="1">
        <v>0</v>
      </c>
      <c r="L1398" s="2">
        <v>0</v>
      </c>
      <c r="M1398" s="1">
        <v>0</v>
      </c>
      <c r="N1398" s="1">
        <v>370</v>
      </c>
      <c r="O1398" s="1">
        <f>N1398*7750</f>
        <v>2867500</v>
      </c>
      <c r="P1398" s="1">
        <v>0</v>
      </c>
      <c r="Q1398" s="1">
        <f t="shared" si="765"/>
        <v>0</v>
      </c>
      <c r="R1398" s="1">
        <v>430</v>
      </c>
      <c r="S1398" s="1">
        <f t="shared" ref="S1398:S1403" si="768">R1398*3751</f>
        <v>1612930</v>
      </c>
      <c r="T1398" s="1">
        <v>0</v>
      </c>
      <c r="U1398" s="1">
        <v>50000</v>
      </c>
      <c r="V1398" s="1">
        <v>0</v>
      </c>
      <c r="W1398" s="1">
        <v>50000</v>
      </c>
      <c r="X1398" s="1">
        <v>0</v>
      </c>
      <c r="Y1398" s="1">
        <v>0</v>
      </c>
      <c r="Z1398" s="1">
        <v>0</v>
      </c>
      <c r="AA1398" s="1">
        <v>0</v>
      </c>
      <c r="AB1398" s="1">
        <v>0</v>
      </c>
      <c r="AC1398" s="1">
        <v>0</v>
      </c>
      <c r="AD1398" s="1">
        <v>0</v>
      </c>
    </row>
    <row r="1399" spans="1:30" s="20" customFormat="1" ht="36" customHeight="1" x14ac:dyDescent="0.25">
      <c r="A1399" s="2">
        <f t="shared" si="763"/>
        <v>1347</v>
      </c>
      <c r="B1399" s="6">
        <f>A1399</f>
        <v>1347</v>
      </c>
      <c r="C1399" s="19" t="s">
        <v>747</v>
      </c>
      <c r="D1399" s="4">
        <f t="shared" si="762"/>
        <v>2015484</v>
      </c>
      <c r="E1399" s="1">
        <f t="shared" si="764"/>
        <v>0</v>
      </c>
      <c r="F1399" s="1">
        <v>0</v>
      </c>
      <c r="G1399" s="1">
        <v>0</v>
      </c>
      <c r="H1399" s="1">
        <v>0</v>
      </c>
      <c r="I1399" s="1">
        <v>0</v>
      </c>
      <c r="J1399" s="1">
        <v>0</v>
      </c>
      <c r="K1399" s="1">
        <v>0</v>
      </c>
      <c r="L1399" s="2">
        <v>0</v>
      </c>
      <c r="M1399" s="1">
        <v>0</v>
      </c>
      <c r="N1399" s="1">
        <v>0</v>
      </c>
      <c r="O1399" s="1">
        <v>0</v>
      </c>
      <c r="P1399" s="1">
        <v>0</v>
      </c>
      <c r="Q1399" s="1">
        <f t="shared" si="765"/>
        <v>0</v>
      </c>
      <c r="R1399" s="1">
        <v>484</v>
      </c>
      <c r="S1399" s="1">
        <f>R1399*3751</f>
        <v>1815484</v>
      </c>
      <c r="T1399" s="1">
        <v>150000</v>
      </c>
      <c r="U1399" s="1">
        <v>50000</v>
      </c>
      <c r="V1399" s="1">
        <v>0</v>
      </c>
      <c r="W1399" s="1">
        <v>0</v>
      </c>
      <c r="X1399" s="1">
        <v>0</v>
      </c>
      <c r="Y1399" s="1">
        <v>0</v>
      </c>
      <c r="Z1399" s="1">
        <v>0</v>
      </c>
      <c r="AA1399" s="1">
        <v>0</v>
      </c>
      <c r="AB1399" s="1">
        <v>0</v>
      </c>
      <c r="AC1399" s="1">
        <v>0</v>
      </c>
      <c r="AD1399" s="1">
        <v>0</v>
      </c>
    </row>
    <row r="1400" spans="1:30" s="20" customFormat="1" ht="36" customHeight="1" x14ac:dyDescent="0.25">
      <c r="A1400" s="2">
        <f t="shared" si="763"/>
        <v>1348</v>
      </c>
      <c r="B1400" s="6">
        <f>A1400</f>
        <v>1348</v>
      </c>
      <c r="C1400" s="19" t="s">
        <v>748</v>
      </c>
      <c r="D1400" s="4">
        <f t="shared" si="762"/>
        <v>1378519.4000000001</v>
      </c>
      <c r="E1400" s="1">
        <f t="shared" si="764"/>
        <v>1328519.4000000001</v>
      </c>
      <c r="F1400" s="1">
        <f>804*396.1</f>
        <v>318464.40000000002</v>
      </c>
      <c r="G1400" s="1">
        <f>1693*396.1</f>
        <v>670597.30000000005</v>
      </c>
      <c r="H1400" s="1">
        <f>390*396.1</f>
        <v>154479</v>
      </c>
      <c r="I1400" s="1">
        <v>0</v>
      </c>
      <c r="J1400" s="1">
        <f>467*396.1</f>
        <v>184978.7</v>
      </c>
      <c r="K1400" s="1">
        <v>0</v>
      </c>
      <c r="L1400" s="2">
        <v>0</v>
      </c>
      <c r="M1400" s="1">
        <v>0</v>
      </c>
      <c r="N1400" s="1">
        <v>0</v>
      </c>
      <c r="O1400" s="1">
        <v>0</v>
      </c>
      <c r="P1400" s="1">
        <v>0</v>
      </c>
      <c r="Q1400" s="1">
        <f t="shared" si="765"/>
        <v>0</v>
      </c>
      <c r="R1400" s="1">
        <v>0</v>
      </c>
      <c r="S1400" s="1">
        <f t="shared" si="768"/>
        <v>0</v>
      </c>
      <c r="T1400" s="1">
        <v>0</v>
      </c>
      <c r="U1400" s="1">
        <v>50000</v>
      </c>
      <c r="V1400" s="1">
        <v>0</v>
      </c>
      <c r="W1400" s="1">
        <v>0</v>
      </c>
      <c r="X1400" s="1">
        <v>0</v>
      </c>
      <c r="Y1400" s="1">
        <v>0</v>
      </c>
      <c r="Z1400" s="1">
        <v>0</v>
      </c>
      <c r="AA1400" s="1">
        <v>0</v>
      </c>
      <c r="AB1400" s="1">
        <v>0</v>
      </c>
      <c r="AC1400" s="1">
        <v>0</v>
      </c>
      <c r="AD1400" s="1">
        <v>0</v>
      </c>
    </row>
    <row r="1401" spans="1:30" s="20" customFormat="1" ht="36" customHeight="1" x14ac:dyDescent="0.25">
      <c r="A1401" s="2">
        <f t="shared" si="763"/>
        <v>1349</v>
      </c>
      <c r="B1401" s="6">
        <f>A1401</f>
        <v>1349</v>
      </c>
      <c r="C1401" s="19" t="s">
        <v>749</v>
      </c>
      <c r="D1401" s="4">
        <f t="shared" si="762"/>
        <v>1387239.7999999998</v>
      </c>
      <c r="E1401" s="1">
        <f t="shared" si="764"/>
        <v>1337239.7999999998</v>
      </c>
      <c r="F1401" s="1">
        <f>804*398.7</f>
        <v>320554.8</v>
      </c>
      <c r="G1401" s="1">
        <f>1693*398.7</f>
        <v>674999.1</v>
      </c>
      <c r="H1401" s="1">
        <f>390*398.7</f>
        <v>155493</v>
      </c>
      <c r="I1401" s="1">
        <v>0</v>
      </c>
      <c r="J1401" s="1">
        <f>467*398.7</f>
        <v>186192.9</v>
      </c>
      <c r="K1401" s="1">
        <v>0</v>
      </c>
      <c r="L1401" s="2">
        <v>0</v>
      </c>
      <c r="M1401" s="1">
        <v>0</v>
      </c>
      <c r="N1401" s="1">
        <v>0</v>
      </c>
      <c r="O1401" s="1">
        <v>0</v>
      </c>
      <c r="P1401" s="1">
        <v>0</v>
      </c>
      <c r="Q1401" s="1">
        <f t="shared" si="765"/>
        <v>0</v>
      </c>
      <c r="R1401" s="1">
        <v>0</v>
      </c>
      <c r="S1401" s="1">
        <f t="shared" si="768"/>
        <v>0</v>
      </c>
      <c r="T1401" s="1">
        <v>0</v>
      </c>
      <c r="U1401" s="1">
        <v>50000</v>
      </c>
      <c r="V1401" s="1">
        <v>0</v>
      </c>
      <c r="W1401" s="1">
        <v>0</v>
      </c>
      <c r="X1401" s="1">
        <v>0</v>
      </c>
      <c r="Y1401" s="1">
        <v>0</v>
      </c>
      <c r="Z1401" s="1">
        <v>0</v>
      </c>
      <c r="AA1401" s="1">
        <v>0</v>
      </c>
      <c r="AB1401" s="1">
        <v>0</v>
      </c>
      <c r="AC1401" s="1">
        <v>0</v>
      </c>
      <c r="AD1401" s="1">
        <v>0</v>
      </c>
    </row>
    <row r="1402" spans="1:30" s="20" customFormat="1" ht="36" customHeight="1" x14ac:dyDescent="0.25">
      <c r="A1402" s="2">
        <f t="shared" si="763"/>
        <v>1350</v>
      </c>
      <c r="B1402" s="6">
        <f>A1402</f>
        <v>1350</v>
      </c>
      <c r="C1402" s="19" t="s">
        <v>750</v>
      </c>
      <c r="D1402" s="4">
        <f t="shared" si="762"/>
        <v>17122989</v>
      </c>
      <c r="E1402" s="1">
        <f t="shared" si="764"/>
        <v>9136296</v>
      </c>
      <c r="F1402" s="1">
        <f>804*2724</f>
        <v>2190096</v>
      </c>
      <c r="G1402" s="1">
        <f>1693*2724</f>
        <v>4611732</v>
      </c>
      <c r="H1402" s="1">
        <f>390*2724</f>
        <v>1062360</v>
      </c>
      <c r="I1402" s="1">
        <v>0</v>
      </c>
      <c r="J1402" s="1">
        <f>467*2724</f>
        <v>1272108</v>
      </c>
      <c r="K1402" s="1">
        <v>0</v>
      </c>
      <c r="L1402" s="2">
        <v>0</v>
      </c>
      <c r="M1402" s="1">
        <v>0</v>
      </c>
      <c r="N1402" s="1">
        <v>800</v>
      </c>
      <c r="O1402" s="1">
        <f>N1402*4968</f>
        <v>3974400</v>
      </c>
      <c r="P1402" s="1">
        <v>0</v>
      </c>
      <c r="Q1402" s="1">
        <f t="shared" si="765"/>
        <v>0</v>
      </c>
      <c r="R1402" s="1">
        <v>1043</v>
      </c>
      <c r="S1402" s="1">
        <f t="shared" si="768"/>
        <v>3912293</v>
      </c>
      <c r="T1402" s="1">
        <v>0</v>
      </c>
      <c r="U1402" s="1">
        <v>50000</v>
      </c>
      <c r="V1402" s="1">
        <v>0</v>
      </c>
      <c r="W1402" s="1">
        <v>50000</v>
      </c>
      <c r="X1402" s="1">
        <v>0</v>
      </c>
      <c r="Y1402" s="1">
        <v>0</v>
      </c>
      <c r="Z1402" s="1">
        <v>0</v>
      </c>
      <c r="AA1402" s="1">
        <v>0</v>
      </c>
      <c r="AB1402" s="1">
        <v>0</v>
      </c>
      <c r="AC1402" s="1">
        <v>0</v>
      </c>
      <c r="AD1402" s="1">
        <v>0</v>
      </c>
    </row>
    <row r="1403" spans="1:30" s="20" customFormat="1" ht="36" customHeight="1" x14ac:dyDescent="0.25">
      <c r="A1403" s="2">
        <f t="shared" si="763"/>
        <v>1351</v>
      </c>
      <c r="B1403" s="6">
        <f>A1403</f>
        <v>1351</v>
      </c>
      <c r="C1403" s="19" t="s">
        <v>751</v>
      </c>
      <c r="D1403" s="4">
        <f t="shared" si="762"/>
        <v>21766629</v>
      </c>
      <c r="E1403" s="1">
        <f t="shared" si="764"/>
        <v>11494158</v>
      </c>
      <c r="F1403" s="1">
        <f>804*3427</f>
        <v>2755308</v>
      </c>
      <c r="G1403" s="1">
        <f>1693*3427</f>
        <v>5801911</v>
      </c>
      <c r="H1403" s="1">
        <f>390*3427</f>
        <v>1336530</v>
      </c>
      <c r="I1403" s="1">
        <v>0</v>
      </c>
      <c r="J1403" s="1">
        <f>467*3427</f>
        <v>1600409</v>
      </c>
      <c r="K1403" s="1">
        <v>0</v>
      </c>
      <c r="L1403" s="2">
        <v>0</v>
      </c>
      <c r="M1403" s="1">
        <v>0</v>
      </c>
      <c r="N1403" s="1">
        <v>1020</v>
      </c>
      <c r="O1403" s="1">
        <f>N1403*4968</f>
        <v>5067360</v>
      </c>
      <c r="P1403" s="1">
        <v>0</v>
      </c>
      <c r="Q1403" s="1">
        <f t="shared" si="765"/>
        <v>0</v>
      </c>
      <c r="R1403" s="1">
        <v>1361</v>
      </c>
      <c r="S1403" s="1">
        <f t="shared" si="768"/>
        <v>5105111</v>
      </c>
      <c r="T1403" s="1">
        <v>0</v>
      </c>
      <c r="U1403" s="1">
        <v>50000</v>
      </c>
      <c r="V1403" s="1">
        <v>0</v>
      </c>
      <c r="W1403" s="1">
        <v>50000</v>
      </c>
      <c r="X1403" s="1">
        <v>0</v>
      </c>
      <c r="Y1403" s="1">
        <v>0</v>
      </c>
      <c r="Z1403" s="1">
        <v>0</v>
      </c>
      <c r="AA1403" s="1">
        <v>0</v>
      </c>
      <c r="AB1403" s="1">
        <v>0</v>
      </c>
      <c r="AC1403" s="1">
        <v>0</v>
      </c>
      <c r="AD1403" s="1">
        <v>0</v>
      </c>
    </row>
    <row r="1404" spans="1:30" s="20" customFormat="1" ht="54.95" customHeight="1" x14ac:dyDescent="0.25">
      <c r="A1404" s="3"/>
      <c r="B1404" s="47" t="s">
        <v>1996</v>
      </c>
      <c r="C1404" s="48"/>
      <c r="D1404" s="4">
        <f>SUM(D1405:D1440)</f>
        <v>243966594.30000001</v>
      </c>
      <c r="E1404" s="4">
        <f t="shared" ref="E1404:AD1404" si="769">SUM(E1405:E1440)</f>
        <v>106893835.10000002</v>
      </c>
      <c r="F1404" s="4">
        <f t="shared" si="769"/>
        <v>19040488.800000001</v>
      </c>
      <c r="G1404" s="4">
        <f t="shared" si="769"/>
        <v>52341634.499999993</v>
      </c>
      <c r="H1404" s="4">
        <f t="shared" si="769"/>
        <v>13156416</v>
      </c>
      <c r="I1404" s="4">
        <f t="shared" si="769"/>
        <v>6601330.9999999991</v>
      </c>
      <c r="J1404" s="4">
        <f t="shared" si="769"/>
        <v>15753964.799999999</v>
      </c>
      <c r="K1404" s="4">
        <f t="shared" si="769"/>
        <v>0</v>
      </c>
      <c r="L1404" s="17">
        <f t="shared" si="769"/>
        <v>3</v>
      </c>
      <c r="M1404" s="4">
        <f t="shared" si="769"/>
        <v>10500000</v>
      </c>
      <c r="N1404" s="4">
        <f t="shared" si="769"/>
        <v>5174</v>
      </c>
      <c r="O1404" s="4">
        <f t="shared" si="769"/>
        <v>40098500</v>
      </c>
      <c r="P1404" s="4">
        <f t="shared" si="769"/>
        <v>450</v>
      </c>
      <c r="Q1404" s="4">
        <f t="shared" si="769"/>
        <v>630000</v>
      </c>
      <c r="R1404" s="4">
        <f t="shared" si="769"/>
        <v>22259.200000000001</v>
      </c>
      <c r="S1404" s="4">
        <f t="shared" si="769"/>
        <v>83494259.200000003</v>
      </c>
      <c r="T1404" s="4">
        <f t="shared" si="769"/>
        <v>150000</v>
      </c>
      <c r="U1404" s="4">
        <f t="shared" si="769"/>
        <v>1300000</v>
      </c>
      <c r="V1404" s="4">
        <f t="shared" si="769"/>
        <v>0</v>
      </c>
      <c r="W1404" s="4">
        <f t="shared" si="769"/>
        <v>900000</v>
      </c>
      <c r="X1404" s="4">
        <f t="shared" si="769"/>
        <v>0</v>
      </c>
      <c r="Y1404" s="4">
        <f t="shared" si="769"/>
        <v>0</v>
      </c>
      <c r="Z1404" s="4">
        <f t="shared" si="769"/>
        <v>0</v>
      </c>
      <c r="AA1404" s="4">
        <f t="shared" si="769"/>
        <v>0</v>
      </c>
      <c r="AB1404" s="4">
        <f t="shared" si="769"/>
        <v>0</v>
      </c>
      <c r="AC1404" s="4">
        <f t="shared" si="769"/>
        <v>0</v>
      </c>
      <c r="AD1404" s="4">
        <f t="shared" si="769"/>
        <v>0</v>
      </c>
    </row>
    <row r="1405" spans="1:30" s="20" customFormat="1" ht="35.25" customHeight="1" x14ac:dyDescent="0.25">
      <c r="A1405" s="2">
        <f>ROW()-ROW($A$11)-42</f>
        <v>1352</v>
      </c>
      <c r="B1405" s="6">
        <f>A1405</f>
        <v>1352</v>
      </c>
      <c r="C1405" s="19" t="s">
        <v>1356</v>
      </c>
      <c r="D1405" s="8">
        <f t="shared" ref="D1405:D1440" si="770">E1405+M1405+O1405+Q1405+S1405+T1405+U1405+V1405+W1405+X1405+Z1405+AA1405+AB1405+AC1405+AD1405</f>
        <v>10700000</v>
      </c>
      <c r="E1405" s="1">
        <f>SUM(F1405:K1405)</f>
        <v>0</v>
      </c>
      <c r="F1405" s="1">
        <v>0</v>
      </c>
      <c r="G1405" s="1">
        <v>0</v>
      </c>
      <c r="H1405" s="1">
        <v>0</v>
      </c>
      <c r="I1405" s="1">
        <v>0</v>
      </c>
      <c r="J1405" s="1">
        <v>0</v>
      </c>
      <c r="K1405" s="1">
        <v>0</v>
      </c>
      <c r="L1405" s="2">
        <v>3</v>
      </c>
      <c r="M1405" s="1">
        <f>L1405*3500000</f>
        <v>10500000</v>
      </c>
      <c r="N1405" s="1">
        <v>0</v>
      </c>
      <c r="O1405" s="1">
        <v>0</v>
      </c>
      <c r="P1405" s="1">
        <v>0</v>
      </c>
      <c r="Q1405" s="1">
        <f>1400*P1405</f>
        <v>0</v>
      </c>
      <c r="R1405" s="1">
        <v>0</v>
      </c>
      <c r="S1405" s="1">
        <f>R1405*3751</f>
        <v>0</v>
      </c>
      <c r="T1405" s="1">
        <v>0</v>
      </c>
      <c r="U1405" s="1">
        <v>200000</v>
      </c>
      <c r="V1405" s="1">
        <v>0</v>
      </c>
      <c r="W1405" s="1">
        <v>0</v>
      </c>
      <c r="X1405" s="1">
        <v>0</v>
      </c>
      <c r="Y1405" s="1">
        <v>0</v>
      </c>
      <c r="Z1405" s="1">
        <v>0</v>
      </c>
      <c r="AA1405" s="1">
        <v>0</v>
      </c>
      <c r="AB1405" s="1">
        <v>0</v>
      </c>
      <c r="AC1405" s="1">
        <v>0</v>
      </c>
      <c r="AD1405" s="1">
        <v>0</v>
      </c>
    </row>
    <row r="1406" spans="1:30" s="20" customFormat="1" ht="36" customHeight="1" x14ac:dyDescent="0.25">
      <c r="A1406" s="2">
        <f t="shared" ref="A1406:A1440" si="771">ROW()-ROW($A$11)-42</f>
        <v>1353</v>
      </c>
      <c r="B1406" s="6">
        <f t="shared" ref="B1406:B1416" si="772">A1406</f>
        <v>1353</v>
      </c>
      <c r="C1406" s="29" t="s">
        <v>2507</v>
      </c>
      <c r="D1406" s="4">
        <f t="shared" si="770"/>
        <v>24492452.699999999</v>
      </c>
      <c r="E1406" s="1">
        <f>SUM(F1406:K1406)</f>
        <v>15320052.699999999</v>
      </c>
      <c r="F1406" s="1">
        <v>0</v>
      </c>
      <c r="G1406" s="1">
        <f>1693*4908.7</f>
        <v>8310429.0999999996</v>
      </c>
      <c r="H1406" s="1">
        <f>390*4908.7</f>
        <v>1914393</v>
      </c>
      <c r="I1406" s="1">
        <f>571*4908.7</f>
        <v>2802867.6999999997</v>
      </c>
      <c r="J1406" s="1">
        <f>467*4908.7</f>
        <v>2292362.9</v>
      </c>
      <c r="K1406" s="1">
        <v>0</v>
      </c>
      <c r="L1406" s="2">
        <v>0</v>
      </c>
      <c r="M1406" s="1">
        <v>0</v>
      </c>
      <c r="N1406" s="1">
        <v>0</v>
      </c>
      <c r="O1406" s="1">
        <v>0</v>
      </c>
      <c r="P1406" s="1">
        <v>50</v>
      </c>
      <c r="Q1406" s="1">
        <f>P1406*1400</f>
        <v>70000</v>
      </c>
      <c r="R1406" s="1">
        <v>2400</v>
      </c>
      <c r="S1406" s="1">
        <f t="shared" ref="S1406:S1412" si="773">R1406*3751</f>
        <v>9002400</v>
      </c>
      <c r="T1406" s="1">
        <v>0</v>
      </c>
      <c r="U1406" s="1">
        <v>50000</v>
      </c>
      <c r="V1406" s="1">
        <v>0</v>
      </c>
      <c r="W1406" s="1">
        <v>50000</v>
      </c>
      <c r="X1406" s="1">
        <v>0</v>
      </c>
      <c r="Y1406" s="1">
        <v>0</v>
      </c>
      <c r="Z1406" s="1">
        <v>0</v>
      </c>
      <c r="AA1406" s="1">
        <v>0</v>
      </c>
      <c r="AB1406" s="1">
        <v>0</v>
      </c>
      <c r="AC1406" s="1">
        <v>0</v>
      </c>
      <c r="AD1406" s="1">
        <v>0</v>
      </c>
    </row>
    <row r="1407" spans="1:30" s="20" customFormat="1" ht="36" customHeight="1" x14ac:dyDescent="0.25">
      <c r="A1407" s="2">
        <f t="shared" si="771"/>
        <v>1354</v>
      </c>
      <c r="B1407" s="6">
        <f t="shared" si="772"/>
        <v>1354</v>
      </c>
      <c r="C1407" s="29" t="s">
        <v>2508</v>
      </c>
      <c r="D1407" s="4">
        <f t="shared" si="770"/>
        <v>25556713.699999999</v>
      </c>
      <c r="E1407" s="1">
        <f t="shared" ref="E1407:E1440" si="774">SUM(F1407:K1407)</f>
        <v>16384313.699999999</v>
      </c>
      <c r="F1407" s="1">
        <v>0</v>
      </c>
      <c r="G1407" s="1">
        <f>1693*5249.7</f>
        <v>8887742.0999999996</v>
      </c>
      <c r="H1407" s="1">
        <f>390*5249.7</f>
        <v>2047383</v>
      </c>
      <c r="I1407" s="1">
        <f>571*5249.7</f>
        <v>2997578.6999999997</v>
      </c>
      <c r="J1407" s="1">
        <f>467*5249.7</f>
        <v>2451609.9</v>
      </c>
      <c r="K1407" s="1">
        <v>0</v>
      </c>
      <c r="L1407" s="2">
        <v>0</v>
      </c>
      <c r="M1407" s="1">
        <v>0</v>
      </c>
      <c r="N1407" s="1">
        <v>0</v>
      </c>
      <c r="O1407" s="1">
        <v>0</v>
      </c>
      <c r="P1407" s="1">
        <v>50</v>
      </c>
      <c r="Q1407" s="1">
        <f t="shared" ref="Q1407:Q1412" si="775">P1407*1400</f>
        <v>70000</v>
      </c>
      <c r="R1407" s="1">
        <v>2400</v>
      </c>
      <c r="S1407" s="1">
        <f t="shared" si="773"/>
        <v>9002400</v>
      </c>
      <c r="T1407" s="1">
        <v>0</v>
      </c>
      <c r="U1407" s="1">
        <v>50000</v>
      </c>
      <c r="V1407" s="1">
        <v>0</v>
      </c>
      <c r="W1407" s="1">
        <v>50000</v>
      </c>
      <c r="X1407" s="1">
        <v>0</v>
      </c>
      <c r="Y1407" s="1">
        <v>0</v>
      </c>
      <c r="Z1407" s="1">
        <v>0</v>
      </c>
      <c r="AA1407" s="1">
        <v>0</v>
      </c>
      <c r="AB1407" s="1">
        <v>0</v>
      </c>
      <c r="AC1407" s="1">
        <v>0</v>
      </c>
      <c r="AD1407" s="1">
        <v>0</v>
      </c>
    </row>
    <row r="1408" spans="1:30" s="20" customFormat="1" ht="36" customHeight="1" x14ac:dyDescent="0.25">
      <c r="A1408" s="2">
        <f t="shared" si="771"/>
        <v>1355</v>
      </c>
      <c r="B1408" s="6">
        <f t="shared" si="772"/>
        <v>1355</v>
      </c>
      <c r="C1408" s="29" t="s">
        <v>752</v>
      </c>
      <c r="D1408" s="4">
        <f t="shared" si="770"/>
        <v>481585.2</v>
      </c>
      <c r="E1408" s="1">
        <f t="shared" si="774"/>
        <v>431585.2</v>
      </c>
      <c r="F1408" s="1">
        <v>0</v>
      </c>
      <c r="G1408" s="1">
        <v>0</v>
      </c>
      <c r="H1408" s="1">
        <f>390*503.6</f>
        <v>196404</v>
      </c>
      <c r="I1408" s="1">
        <v>0</v>
      </c>
      <c r="J1408" s="1">
        <f>467*503.6</f>
        <v>235181.2</v>
      </c>
      <c r="K1408" s="1">
        <v>0</v>
      </c>
      <c r="L1408" s="2">
        <v>0</v>
      </c>
      <c r="M1408" s="1">
        <v>0</v>
      </c>
      <c r="N1408" s="1">
        <v>0</v>
      </c>
      <c r="O1408" s="1">
        <v>0</v>
      </c>
      <c r="P1408" s="1">
        <v>0</v>
      </c>
      <c r="Q1408" s="1">
        <f t="shared" si="775"/>
        <v>0</v>
      </c>
      <c r="R1408" s="1">
        <v>0</v>
      </c>
      <c r="S1408" s="1">
        <f t="shared" si="773"/>
        <v>0</v>
      </c>
      <c r="T1408" s="1">
        <v>0</v>
      </c>
      <c r="U1408" s="1">
        <v>50000</v>
      </c>
      <c r="V1408" s="1">
        <v>0</v>
      </c>
      <c r="W1408" s="1">
        <v>0</v>
      </c>
      <c r="X1408" s="1">
        <v>0</v>
      </c>
      <c r="Y1408" s="1">
        <v>0</v>
      </c>
      <c r="Z1408" s="1">
        <v>0</v>
      </c>
      <c r="AA1408" s="1">
        <v>0</v>
      </c>
      <c r="AB1408" s="1">
        <v>0</v>
      </c>
      <c r="AC1408" s="1">
        <v>0</v>
      </c>
      <c r="AD1408" s="1">
        <v>0</v>
      </c>
    </row>
    <row r="1409" spans="1:30" s="20" customFormat="1" ht="36" customHeight="1" x14ac:dyDescent="0.25">
      <c r="A1409" s="2">
        <f t="shared" si="771"/>
        <v>1356</v>
      </c>
      <c r="B1409" s="6">
        <f t="shared" si="772"/>
        <v>1356</v>
      </c>
      <c r="C1409" s="19" t="s">
        <v>753</v>
      </c>
      <c r="D1409" s="4">
        <f t="shared" si="770"/>
        <v>12106356.800000001</v>
      </c>
      <c r="E1409" s="1">
        <f t="shared" si="774"/>
        <v>5912095.8000000007</v>
      </c>
      <c r="F1409" s="1">
        <f>804*1762.7</f>
        <v>1417210.8</v>
      </c>
      <c r="G1409" s="1">
        <f>1693*1762.7</f>
        <v>2984251.1</v>
      </c>
      <c r="H1409" s="1">
        <f>390*1762.7</f>
        <v>687453</v>
      </c>
      <c r="I1409" s="1">
        <v>0</v>
      </c>
      <c r="J1409" s="1">
        <f>467*1762.7</f>
        <v>823180.9</v>
      </c>
      <c r="K1409" s="1">
        <v>0</v>
      </c>
      <c r="L1409" s="2">
        <v>0</v>
      </c>
      <c r="M1409" s="1">
        <v>0</v>
      </c>
      <c r="N1409" s="1">
        <v>530</v>
      </c>
      <c r="O1409" s="1">
        <f>N1409*7750</f>
        <v>4107500</v>
      </c>
      <c r="P1409" s="1">
        <v>50</v>
      </c>
      <c r="Q1409" s="1">
        <f t="shared" si="775"/>
        <v>70000</v>
      </c>
      <c r="R1409" s="1">
        <v>511</v>
      </c>
      <c r="S1409" s="1">
        <f t="shared" si="773"/>
        <v>1916761</v>
      </c>
      <c r="T1409" s="1">
        <v>0</v>
      </c>
      <c r="U1409" s="1">
        <v>50000</v>
      </c>
      <c r="V1409" s="1">
        <v>0</v>
      </c>
      <c r="W1409" s="1">
        <v>50000</v>
      </c>
      <c r="X1409" s="1">
        <v>0</v>
      </c>
      <c r="Y1409" s="1">
        <v>0</v>
      </c>
      <c r="Z1409" s="1">
        <v>0</v>
      </c>
      <c r="AA1409" s="1">
        <v>0</v>
      </c>
      <c r="AB1409" s="1">
        <v>0</v>
      </c>
      <c r="AC1409" s="1">
        <v>0</v>
      </c>
      <c r="AD1409" s="1">
        <v>0</v>
      </c>
    </row>
    <row r="1410" spans="1:30" s="20" customFormat="1" ht="36" customHeight="1" x14ac:dyDescent="0.25">
      <c r="A1410" s="2">
        <f t="shared" si="771"/>
        <v>1357</v>
      </c>
      <c r="B1410" s="6">
        <f t="shared" si="772"/>
        <v>1357</v>
      </c>
      <c r="C1410" s="29" t="s">
        <v>754</v>
      </c>
      <c r="D1410" s="4">
        <f t="shared" si="770"/>
        <v>3552165</v>
      </c>
      <c r="E1410" s="1">
        <f t="shared" si="774"/>
        <v>0</v>
      </c>
      <c r="F1410" s="1">
        <v>0</v>
      </c>
      <c r="G1410" s="1">
        <v>0</v>
      </c>
      <c r="H1410" s="1">
        <v>0</v>
      </c>
      <c r="I1410" s="1">
        <v>0</v>
      </c>
      <c r="J1410" s="1">
        <v>0</v>
      </c>
      <c r="K1410" s="1">
        <v>0</v>
      </c>
      <c r="L1410" s="2">
        <v>0</v>
      </c>
      <c r="M1410" s="1">
        <v>0</v>
      </c>
      <c r="N1410" s="1">
        <v>0</v>
      </c>
      <c r="O1410" s="1">
        <v>0</v>
      </c>
      <c r="P1410" s="1">
        <v>50</v>
      </c>
      <c r="Q1410" s="1">
        <f t="shared" si="775"/>
        <v>70000</v>
      </c>
      <c r="R1410" s="1">
        <v>915</v>
      </c>
      <c r="S1410" s="1">
        <f t="shared" si="773"/>
        <v>3432165</v>
      </c>
      <c r="T1410" s="1">
        <v>0</v>
      </c>
      <c r="U1410" s="1">
        <v>0</v>
      </c>
      <c r="V1410" s="1">
        <v>0</v>
      </c>
      <c r="W1410" s="1">
        <v>50000</v>
      </c>
      <c r="X1410" s="1">
        <v>0</v>
      </c>
      <c r="Y1410" s="1">
        <v>0</v>
      </c>
      <c r="Z1410" s="1">
        <v>0</v>
      </c>
      <c r="AA1410" s="1">
        <v>0</v>
      </c>
      <c r="AB1410" s="1">
        <v>0</v>
      </c>
      <c r="AC1410" s="1">
        <v>0</v>
      </c>
      <c r="AD1410" s="1">
        <v>0</v>
      </c>
    </row>
    <row r="1411" spans="1:30" s="20" customFormat="1" ht="36" customHeight="1" x14ac:dyDescent="0.25">
      <c r="A1411" s="2">
        <f t="shared" si="771"/>
        <v>1358</v>
      </c>
      <c r="B1411" s="6">
        <f t="shared" si="772"/>
        <v>1358</v>
      </c>
      <c r="C1411" s="29" t="s">
        <v>755</v>
      </c>
      <c r="D1411" s="4">
        <f t="shared" si="770"/>
        <v>1440352</v>
      </c>
      <c r="E1411" s="1">
        <f t="shared" si="774"/>
        <v>0</v>
      </c>
      <c r="F1411" s="1">
        <v>0</v>
      </c>
      <c r="G1411" s="1">
        <v>0</v>
      </c>
      <c r="H1411" s="1">
        <v>0</v>
      </c>
      <c r="I1411" s="1">
        <v>0</v>
      </c>
      <c r="J1411" s="1">
        <v>0</v>
      </c>
      <c r="K1411" s="1">
        <v>0</v>
      </c>
      <c r="L1411" s="2">
        <v>0</v>
      </c>
      <c r="M1411" s="1">
        <v>0</v>
      </c>
      <c r="N1411" s="1">
        <v>0</v>
      </c>
      <c r="O1411" s="1">
        <v>0</v>
      </c>
      <c r="P1411" s="1">
        <v>50</v>
      </c>
      <c r="Q1411" s="1">
        <f t="shared" si="775"/>
        <v>70000</v>
      </c>
      <c r="R1411" s="1">
        <v>352</v>
      </c>
      <c r="S1411" s="1">
        <f t="shared" si="773"/>
        <v>1320352</v>
      </c>
      <c r="T1411" s="1">
        <v>0</v>
      </c>
      <c r="U1411" s="1">
        <v>0</v>
      </c>
      <c r="V1411" s="1">
        <v>0</v>
      </c>
      <c r="W1411" s="1">
        <v>50000</v>
      </c>
      <c r="X1411" s="1">
        <v>0</v>
      </c>
      <c r="Y1411" s="1">
        <v>0</v>
      </c>
      <c r="Z1411" s="1">
        <v>0</v>
      </c>
      <c r="AA1411" s="1">
        <v>0</v>
      </c>
      <c r="AB1411" s="1">
        <v>0</v>
      </c>
      <c r="AC1411" s="1">
        <v>0</v>
      </c>
      <c r="AD1411" s="1">
        <v>0</v>
      </c>
    </row>
    <row r="1412" spans="1:30" s="20" customFormat="1" ht="36" customHeight="1" x14ac:dyDescent="0.25">
      <c r="A1412" s="2">
        <f t="shared" si="771"/>
        <v>1359</v>
      </c>
      <c r="B1412" s="6">
        <f t="shared" si="772"/>
        <v>1359</v>
      </c>
      <c r="C1412" s="29" t="s">
        <v>756</v>
      </c>
      <c r="D1412" s="4">
        <f t="shared" si="770"/>
        <v>1385356</v>
      </c>
      <c r="E1412" s="1">
        <f t="shared" si="774"/>
        <v>0</v>
      </c>
      <c r="F1412" s="1">
        <v>0</v>
      </c>
      <c r="G1412" s="1">
        <v>0</v>
      </c>
      <c r="H1412" s="1">
        <v>0</v>
      </c>
      <c r="I1412" s="1">
        <v>0</v>
      </c>
      <c r="J1412" s="1">
        <v>0</v>
      </c>
      <c r="K1412" s="1">
        <v>0</v>
      </c>
      <c r="L1412" s="2">
        <v>0</v>
      </c>
      <c r="M1412" s="1">
        <v>0</v>
      </c>
      <c r="N1412" s="1">
        <v>0</v>
      </c>
      <c r="O1412" s="1">
        <v>0</v>
      </c>
      <c r="P1412" s="1">
        <v>0</v>
      </c>
      <c r="Q1412" s="1">
        <f t="shared" si="775"/>
        <v>0</v>
      </c>
      <c r="R1412" s="1">
        <v>356</v>
      </c>
      <c r="S1412" s="1">
        <f t="shared" si="773"/>
        <v>1335356</v>
      </c>
      <c r="T1412" s="1">
        <v>0</v>
      </c>
      <c r="U1412" s="1">
        <v>0</v>
      </c>
      <c r="V1412" s="1">
        <v>0</v>
      </c>
      <c r="W1412" s="1">
        <v>50000</v>
      </c>
      <c r="X1412" s="1">
        <v>0</v>
      </c>
      <c r="Y1412" s="1">
        <v>0</v>
      </c>
      <c r="Z1412" s="1">
        <v>0</v>
      </c>
      <c r="AA1412" s="1">
        <v>0</v>
      </c>
      <c r="AB1412" s="1">
        <v>0</v>
      </c>
      <c r="AC1412" s="1">
        <v>0</v>
      </c>
      <c r="AD1412" s="1">
        <v>0</v>
      </c>
    </row>
    <row r="1413" spans="1:30" s="20" customFormat="1" ht="36" customHeight="1" x14ac:dyDescent="0.25">
      <c r="A1413" s="2">
        <f t="shared" si="771"/>
        <v>1360</v>
      </c>
      <c r="B1413" s="6">
        <f>A1413</f>
        <v>1360</v>
      </c>
      <c r="C1413" s="29" t="s">
        <v>130</v>
      </c>
      <c r="D1413" s="4">
        <f t="shared" si="770"/>
        <v>2599443</v>
      </c>
      <c r="E1413" s="1">
        <f>SUM(F1413:K1413)</f>
        <v>0</v>
      </c>
      <c r="F1413" s="7">
        <v>0</v>
      </c>
      <c r="G1413" s="1">
        <v>0</v>
      </c>
      <c r="H1413" s="1">
        <v>0</v>
      </c>
      <c r="I1413" s="1">
        <v>0</v>
      </c>
      <c r="J1413" s="1">
        <v>0</v>
      </c>
      <c r="K1413" s="1">
        <v>0</v>
      </c>
      <c r="L1413" s="2">
        <v>0</v>
      </c>
      <c r="M1413" s="1">
        <v>0</v>
      </c>
      <c r="N1413" s="1">
        <v>0</v>
      </c>
      <c r="O1413" s="1">
        <v>0</v>
      </c>
      <c r="P1413" s="1">
        <v>0</v>
      </c>
      <c r="Q1413" s="1">
        <f>P1413*1400</f>
        <v>0</v>
      </c>
      <c r="R1413" s="1">
        <v>693</v>
      </c>
      <c r="S1413" s="1">
        <f>R1413*3751</f>
        <v>2599443</v>
      </c>
      <c r="T1413" s="1">
        <v>0</v>
      </c>
      <c r="U1413" s="1">
        <v>0</v>
      </c>
      <c r="V1413" s="1">
        <v>0</v>
      </c>
      <c r="W1413" s="1">
        <v>0</v>
      </c>
      <c r="X1413" s="1">
        <v>0</v>
      </c>
      <c r="Y1413" s="1">
        <v>0</v>
      </c>
      <c r="Z1413" s="1">
        <v>0</v>
      </c>
      <c r="AA1413" s="1">
        <v>0</v>
      </c>
      <c r="AB1413" s="1">
        <v>0</v>
      </c>
      <c r="AC1413" s="1">
        <v>0</v>
      </c>
      <c r="AD1413" s="1">
        <v>0</v>
      </c>
    </row>
    <row r="1414" spans="1:30" s="20" customFormat="1" ht="36" customHeight="1" x14ac:dyDescent="0.25">
      <c r="A1414" s="2">
        <f t="shared" si="771"/>
        <v>1361</v>
      </c>
      <c r="B1414" s="6">
        <f t="shared" si="772"/>
        <v>1361</v>
      </c>
      <c r="C1414" s="29" t="s">
        <v>127</v>
      </c>
      <c r="D1414" s="4">
        <f t="shared" si="770"/>
        <v>2625700</v>
      </c>
      <c r="E1414" s="1">
        <f t="shared" si="774"/>
        <v>0</v>
      </c>
      <c r="F1414" s="1">
        <v>0</v>
      </c>
      <c r="G1414" s="1">
        <v>0</v>
      </c>
      <c r="H1414" s="1">
        <v>0</v>
      </c>
      <c r="I1414" s="1">
        <v>0</v>
      </c>
      <c r="J1414" s="1">
        <v>0</v>
      </c>
      <c r="K1414" s="1">
        <v>0</v>
      </c>
      <c r="L1414" s="2">
        <v>0</v>
      </c>
      <c r="M1414" s="1">
        <v>0</v>
      </c>
      <c r="N1414" s="1">
        <v>0</v>
      </c>
      <c r="O1414" s="1">
        <v>0</v>
      </c>
      <c r="P1414" s="1">
        <v>0</v>
      </c>
      <c r="Q1414" s="1">
        <f>P1414*1400</f>
        <v>0</v>
      </c>
      <c r="R1414" s="1">
        <v>700</v>
      </c>
      <c r="S1414" s="1">
        <f>R1414*3751</f>
        <v>2625700</v>
      </c>
      <c r="T1414" s="1">
        <v>0</v>
      </c>
      <c r="U1414" s="1">
        <v>0</v>
      </c>
      <c r="V1414" s="1">
        <v>0</v>
      </c>
      <c r="W1414" s="1">
        <v>0</v>
      </c>
      <c r="X1414" s="1">
        <v>0</v>
      </c>
      <c r="Y1414" s="1">
        <v>0</v>
      </c>
      <c r="Z1414" s="1">
        <v>0</v>
      </c>
      <c r="AA1414" s="1">
        <v>0</v>
      </c>
      <c r="AB1414" s="1">
        <v>0</v>
      </c>
      <c r="AC1414" s="1">
        <v>0</v>
      </c>
      <c r="AD1414" s="1">
        <v>0</v>
      </c>
    </row>
    <row r="1415" spans="1:30" s="20" customFormat="1" ht="36" customHeight="1" x14ac:dyDescent="0.25">
      <c r="A1415" s="2">
        <f t="shared" si="771"/>
        <v>1362</v>
      </c>
      <c r="B1415" s="6">
        <f t="shared" si="772"/>
        <v>1362</v>
      </c>
      <c r="C1415" s="29" t="s">
        <v>128</v>
      </c>
      <c r="D1415" s="4">
        <f t="shared" si="770"/>
        <v>3420912</v>
      </c>
      <c r="E1415" s="1">
        <f t="shared" si="774"/>
        <v>0</v>
      </c>
      <c r="F1415" s="1">
        <v>0</v>
      </c>
      <c r="G1415" s="1">
        <v>0</v>
      </c>
      <c r="H1415" s="1">
        <v>0</v>
      </c>
      <c r="I1415" s="1">
        <v>0</v>
      </c>
      <c r="J1415" s="1">
        <v>0</v>
      </c>
      <c r="K1415" s="1">
        <v>0</v>
      </c>
      <c r="L1415" s="2">
        <v>0</v>
      </c>
      <c r="M1415" s="1">
        <v>0</v>
      </c>
      <c r="N1415" s="1">
        <v>0</v>
      </c>
      <c r="O1415" s="1">
        <v>0</v>
      </c>
      <c r="P1415" s="1">
        <v>0</v>
      </c>
      <c r="Q1415" s="1">
        <f>P1415*1400</f>
        <v>0</v>
      </c>
      <c r="R1415" s="1">
        <v>912</v>
      </c>
      <c r="S1415" s="1">
        <f t="shared" ref="S1415:S1423" si="776">R1415*3751</f>
        <v>3420912</v>
      </c>
      <c r="T1415" s="1">
        <v>0</v>
      </c>
      <c r="U1415" s="1">
        <v>0</v>
      </c>
      <c r="V1415" s="1">
        <v>0</v>
      </c>
      <c r="W1415" s="1">
        <v>0</v>
      </c>
      <c r="X1415" s="1">
        <v>0</v>
      </c>
      <c r="Y1415" s="1">
        <v>0</v>
      </c>
      <c r="Z1415" s="1">
        <v>0</v>
      </c>
      <c r="AA1415" s="1">
        <v>0</v>
      </c>
      <c r="AB1415" s="1">
        <v>0</v>
      </c>
      <c r="AC1415" s="1">
        <v>0</v>
      </c>
      <c r="AD1415" s="1">
        <v>0</v>
      </c>
    </row>
    <row r="1416" spans="1:30" s="20" customFormat="1" ht="36" customHeight="1" x14ac:dyDescent="0.25">
      <c r="A1416" s="2">
        <f t="shared" si="771"/>
        <v>1363</v>
      </c>
      <c r="B1416" s="6">
        <f t="shared" si="772"/>
        <v>1363</v>
      </c>
      <c r="C1416" s="29" t="s">
        <v>757</v>
      </c>
      <c r="D1416" s="4">
        <f t="shared" si="770"/>
        <v>4206973</v>
      </c>
      <c r="E1416" s="1">
        <f t="shared" si="774"/>
        <v>4106973</v>
      </c>
      <c r="F1416" s="1">
        <f>804*1224.5</f>
        <v>984498</v>
      </c>
      <c r="G1416" s="1">
        <f>1693*1224.5</f>
        <v>2073078.5</v>
      </c>
      <c r="H1416" s="1">
        <f>390*1224.5</f>
        <v>477555</v>
      </c>
      <c r="I1416" s="1">
        <v>0</v>
      </c>
      <c r="J1416" s="1">
        <f>467*1224.5</f>
        <v>571841.5</v>
      </c>
      <c r="K1416" s="1">
        <v>0</v>
      </c>
      <c r="L1416" s="2">
        <v>0</v>
      </c>
      <c r="M1416" s="1">
        <v>0</v>
      </c>
      <c r="N1416" s="1">
        <v>0</v>
      </c>
      <c r="O1416" s="1">
        <v>0</v>
      </c>
      <c r="P1416" s="1">
        <v>0</v>
      </c>
      <c r="Q1416" s="1">
        <f t="shared" ref="Q1416:Q1440" si="777">P1416*1400</f>
        <v>0</v>
      </c>
      <c r="R1416" s="1">
        <v>0</v>
      </c>
      <c r="S1416" s="1">
        <f t="shared" si="776"/>
        <v>0</v>
      </c>
      <c r="T1416" s="1">
        <v>0</v>
      </c>
      <c r="U1416" s="1">
        <v>50000</v>
      </c>
      <c r="V1416" s="1">
        <v>0</v>
      </c>
      <c r="W1416" s="1">
        <v>50000</v>
      </c>
      <c r="X1416" s="1">
        <v>0</v>
      </c>
      <c r="Y1416" s="1">
        <v>0</v>
      </c>
      <c r="Z1416" s="1">
        <v>0</v>
      </c>
      <c r="AA1416" s="1">
        <v>0</v>
      </c>
      <c r="AB1416" s="1">
        <v>0</v>
      </c>
      <c r="AC1416" s="1">
        <v>0</v>
      </c>
      <c r="AD1416" s="1">
        <v>0</v>
      </c>
    </row>
    <row r="1417" spans="1:30" s="20" customFormat="1" ht="36" customHeight="1" x14ac:dyDescent="0.25">
      <c r="A1417" s="2">
        <f t="shared" si="771"/>
        <v>1364</v>
      </c>
      <c r="B1417" s="6">
        <f t="shared" ref="B1417:B1435" si="778">A1417</f>
        <v>1364</v>
      </c>
      <c r="C1417" s="29" t="s">
        <v>758</v>
      </c>
      <c r="D1417" s="4">
        <f t="shared" si="770"/>
        <v>9650646.1999999993</v>
      </c>
      <c r="E1417" s="1">
        <f t="shared" si="774"/>
        <v>2338744.1999999997</v>
      </c>
      <c r="F1417" s="1">
        <f>804*697.3</f>
        <v>560629.19999999995</v>
      </c>
      <c r="G1417" s="1">
        <f>1693*697.3</f>
        <v>1180528.8999999999</v>
      </c>
      <c r="H1417" s="1">
        <f>390*697.3</f>
        <v>271947</v>
      </c>
      <c r="I1417" s="1">
        <v>0</v>
      </c>
      <c r="J1417" s="1">
        <f>467*697.3</f>
        <v>325639.09999999998</v>
      </c>
      <c r="K1417" s="1">
        <v>0</v>
      </c>
      <c r="L1417" s="2">
        <v>0</v>
      </c>
      <c r="M1417" s="1">
        <v>0</v>
      </c>
      <c r="N1417" s="1">
        <v>615</v>
      </c>
      <c r="O1417" s="1">
        <f>N1417*7750</f>
        <v>4766250</v>
      </c>
      <c r="P1417" s="1">
        <v>0</v>
      </c>
      <c r="Q1417" s="1">
        <f t="shared" si="777"/>
        <v>0</v>
      </c>
      <c r="R1417" s="1">
        <v>652</v>
      </c>
      <c r="S1417" s="1">
        <f t="shared" si="776"/>
        <v>2445652</v>
      </c>
      <c r="T1417" s="1">
        <v>0</v>
      </c>
      <c r="U1417" s="1">
        <v>50000</v>
      </c>
      <c r="V1417" s="1">
        <v>0</v>
      </c>
      <c r="W1417" s="1">
        <v>50000</v>
      </c>
      <c r="X1417" s="1">
        <v>0</v>
      </c>
      <c r="Y1417" s="1">
        <v>0</v>
      </c>
      <c r="Z1417" s="1">
        <v>0</v>
      </c>
      <c r="AA1417" s="1">
        <v>0</v>
      </c>
      <c r="AB1417" s="1">
        <v>0</v>
      </c>
      <c r="AC1417" s="1">
        <v>0</v>
      </c>
      <c r="AD1417" s="1">
        <v>0</v>
      </c>
    </row>
    <row r="1418" spans="1:30" s="20" customFormat="1" ht="36" customHeight="1" x14ac:dyDescent="0.25">
      <c r="A1418" s="2">
        <f t="shared" si="771"/>
        <v>1365</v>
      </c>
      <c r="B1418" s="6">
        <f t="shared" si="778"/>
        <v>1365</v>
      </c>
      <c r="C1418" s="29" t="s">
        <v>759</v>
      </c>
      <c r="D1418" s="4">
        <f t="shared" si="770"/>
        <v>9910819.6000000015</v>
      </c>
      <c r="E1418" s="1">
        <f t="shared" si="774"/>
        <v>3843348.6000000006</v>
      </c>
      <c r="F1418" s="1">
        <f>804*1145.9</f>
        <v>921303.60000000009</v>
      </c>
      <c r="G1418" s="1">
        <f>1693*1145.9</f>
        <v>1940008.7000000002</v>
      </c>
      <c r="H1418" s="1">
        <f>390*1145.9</f>
        <v>446901.00000000006</v>
      </c>
      <c r="I1418" s="1">
        <v>0</v>
      </c>
      <c r="J1418" s="1">
        <f>467*1145.9</f>
        <v>535135.30000000005</v>
      </c>
      <c r="K1418" s="1">
        <v>0</v>
      </c>
      <c r="L1418" s="2">
        <v>0</v>
      </c>
      <c r="M1418" s="1">
        <v>0</v>
      </c>
      <c r="N1418" s="1">
        <v>412</v>
      </c>
      <c r="O1418" s="1">
        <f>N1418*7750</f>
        <v>3193000</v>
      </c>
      <c r="P1418" s="1">
        <v>50</v>
      </c>
      <c r="Q1418" s="1">
        <f t="shared" si="777"/>
        <v>70000</v>
      </c>
      <c r="R1418" s="1">
        <v>721</v>
      </c>
      <c r="S1418" s="1">
        <f t="shared" si="776"/>
        <v>2704471</v>
      </c>
      <c r="T1418" s="1">
        <v>0</v>
      </c>
      <c r="U1418" s="1">
        <v>50000</v>
      </c>
      <c r="V1418" s="1">
        <v>0</v>
      </c>
      <c r="W1418" s="1">
        <v>50000</v>
      </c>
      <c r="X1418" s="1">
        <v>0</v>
      </c>
      <c r="Y1418" s="1">
        <v>0</v>
      </c>
      <c r="Z1418" s="1">
        <v>0</v>
      </c>
      <c r="AA1418" s="1">
        <v>0</v>
      </c>
      <c r="AB1418" s="1">
        <v>0</v>
      </c>
      <c r="AC1418" s="1">
        <v>0</v>
      </c>
      <c r="AD1418" s="1">
        <v>0</v>
      </c>
    </row>
    <row r="1419" spans="1:30" s="20" customFormat="1" ht="36" customHeight="1" x14ac:dyDescent="0.25">
      <c r="A1419" s="2">
        <f t="shared" si="771"/>
        <v>1366</v>
      </c>
      <c r="B1419" s="2">
        <f t="shared" si="778"/>
        <v>1366</v>
      </c>
      <c r="C1419" s="29" t="s">
        <v>760</v>
      </c>
      <c r="D1419" s="39">
        <f t="shared" si="770"/>
        <v>16522310.199999999</v>
      </c>
      <c r="E1419" s="1">
        <f t="shared" si="774"/>
        <v>5293618.1999999993</v>
      </c>
      <c r="F1419" s="1">
        <f>804*1578.3</f>
        <v>1268953.2</v>
      </c>
      <c r="G1419" s="1">
        <f>1693*1578.3</f>
        <v>2672061.9</v>
      </c>
      <c r="H1419" s="1">
        <f>390*1578.3</f>
        <v>615537</v>
      </c>
      <c r="I1419" s="1">
        <v>0</v>
      </c>
      <c r="J1419" s="1">
        <f>467*1578.3</f>
        <v>737066.1</v>
      </c>
      <c r="K1419" s="1">
        <v>0</v>
      </c>
      <c r="L1419" s="2">
        <v>0</v>
      </c>
      <c r="M1419" s="1">
        <v>0</v>
      </c>
      <c r="N1419" s="1">
        <v>729</v>
      </c>
      <c r="O1419" s="1">
        <f>N1419*7750</f>
        <v>5649750</v>
      </c>
      <c r="P1419" s="1">
        <v>50</v>
      </c>
      <c r="Q1419" s="1">
        <f t="shared" si="777"/>
        <v>70000</v>
      </c>
      <c r="R1419" s="1">
        <v>1442</v>
      </c>
      <c r="S1419" s="1">
        <f t="shared" si="776"/>
        <v>5408942</v>
      </c>
      <c r="T1419" s="1">
        <v>0</v>
      </c>
      <c r="U1419" s="1">
        <v>50000</v>
      </c>
      <c r="V1419" s="1">
        <v>0</v>
      </c>
      <c r="W1419" s="1">
        <v>50000</v>
      </c>
      <c r="X1419" s="1">
        <v>0</v>
      </c>
      <c r="Y1419" s="1">
        <v>0</v>
      </c>
      <c r="Z1419" s="1">
        <v>0</v>
      </c>
      <c r="AA1419" s="1">
        <v>0</v>
      </c>
      <c r="AB1419" s="1">
        <v>0</v>
      </c>
      <c r="AC1419" s="1">
        <v>0</v>
      </c>
      <c r="AD1419" s="1">
        <v>0</v>
      </c>
    </row>
    <row r="1420" spans="1:30" s="20" customFormat="1" ht="36" customHeight="1" x14ac:dyDescent="0.25">
      <c r="A1420" s="2">
        <f t="shared" si="771"/>
        <v>1367</v>
      </c>
      <c r="B1420" s="2">
        <f t="shared" si="778"/>
        <v>1367</v>
      </c>
      <c r="C1420" s="29" t="s">
        <v>131</v>
      </c>
      <c r="D1420" s="39">
        <f t="shared" si="770"/>
        <v>12469862</v>
      </c>
      <c r="E1420" s="1">
        <f t="shared" si="774"/>
        <v>12419862</v>
      </c>
      <c r="F1420" s="7">
        <f>804*3703</f>
        <v>2977212</v>
      </c>
      <c r="G1420" s="7">
        <f>1693*3703</f>
        <v>6269179</v>
      </c>
      <c r="H1420" s="7">
        <f>390*3703</f>
        <v>1444170</v>
      </c>
      <c r="I1420" s="1">
        <v>0</v>
      </c>
      <c r="J1420" s="7">
        <f>467*3703</f>
        <v>1729301</v>
      </c>
      <c r="K1420" s="1">
        <v>0</v>
      </c>
      <c r="L1420" s="2">
        <v>0</v>
      </c>
      <c r="M1420" s="1">
        <v>0</v>
      </c>
      <c r="N1420" s="1">
        <v>0</v>
      </c>
      <c r="O1420" s="1">
        <v>0</v>
      </c>
      <c r="P1420" s="1">
        <v>0</v>
      </c>
      <c r="Q1420" s="1">
        <f t="shared" si="777"/>
        <v>0</v>
      </c>
      <c r="R1420" s="1">
        <v>0</v>
      </c>
      <c r="S1420" s="1">
        <f t="shared" si="776"/>
        <v>0</v>
      </c>
      <c r="T1420" s="1">
        <v>0</v>
      </c>
      <c r="U1420" s="1">
        <v>50000</v>
      </c>
      <c r="V1420" s="1">
        <v>0</v>
      </c>
      <c r="W1420" s="1">
        <v>0</v>
      </c>
      <c r="X1420" s="1">
        <v>0</v>
      </c>
      <c r="Y1420" s="1">
        <v>0</v>
      </c>
      <c r="Z1420" s="1">
        <v>0</v>
      </c>
      <c r="AA1420" s="1">
        <v>0</v>
      </c>
      <c r="AB1420" s="1">
        <v>0</v>
      </c>
      <c r="AC1420" s="1">
        <v>0</v>
      </c>
      <c r="AD1420" s="1">
        <v>0</v>
      </c>
    </row>
    <row r="1421" spans="1:30" s="20" customFormat="1" ht="36" customHeight="1" x14ac:dyDescent="0.25">
      <c r="A1421" s="2">
        <f t="shared" si="771"/>
        <v>1368</v>
      </c>
      <c r="B1421" s="6">
        <f t="shared" si="778"/>
        <v>1368</v>
      </c>
      <c r="C1421" s="29" t="s">
        <v>132</v>
      </c>
      <c r="D1421" s="4">
        <f t="shared" si="770"/>
        <v>13957696.400000002</v>
      </c>
      <c r="E1421" s="1">
        <f t="shared" si="774"/>
        <v>13907696.400000002</v>
      </c>
      <c r="F1421" s="1">
        <f>804*4146.6</f>
        <v>3333866.4000000004</v>
      </c>
      <c r="G1421" s="1">
        <f>1693*4146.6</f>
        <v>7020193.8000000007</v>
      </c>
      <c r="H1421" s="1">
        <f>390*4146.6</f>
        <v>1617174.0000000002</v>
      </c>
      <c r="I1421" s="1">
        <v>0</v>
      </c>
      <c r="J1421" s="1">
        <f>467*4146.6</f>
        <v>1936462.2000000002</v>
      </c>
      <c r="K1421" s="1">
        <v>0</v>
      </c>
      <c r="L1421" s="2">
        <v>0</v>
      </c>
      <c r="M1421" s="1">
        <v>0</v>
      </c>
      <c r="N1421" s="1">
        <v>0</v>
      </c>
      <c r="O1421" s="1">
        <v>0</v>
      </c>
      <c r="P1421" s="1">
        <v>0</v>
      </c>
      <c r="Q1421" s="1">
        <f t="shared" si="777"/>
        <v>0</v>
      </c>
      <c r="R1421" s="1">
        <v>0</v>
      </c>
      <c r="S1421" s="1">
        <f t="shared" si="776"/>
        <v>0</v>
      </c>
      <c r="T1421" s="1">
        <v>0</v>
      </c>
      <c r="U1421" s="1">
        <v>50000</v>
      </c>
      <c r="V1421" s="1">
        <v>0</v>
      </c>
      <c r="W1421" s="1">
        <v>0</v>
      </c>
      <c r="X1421" s="1">
        <v>0</v>
      </c>
      <c r="Y1421" s="1">
        <v>0</v>
      </c>
      <c r="Z1421" s="1">
        <v>0</v>
      </c>
      <c r="AA1421" s="1">
        <v>0</v>
      </c>
      <c r="AB1421" s="1">
        <v>0</v>
      </c>
      <c r="AC1421" s="1">
        <v>0</v>
      </c>
      <c r="AD1421" s="1">
        <v>0</v>
      </c>
    </row>
    <row r="1422" spans="1:30" s="20" customFormat="1" ht="36" customHeight="1" x14ac:dyDescent="0.25">
      <c r="A1422" s="2">
        <f t="shared" si="771"/>
        <v>1369</v>
      </c>
      <c r="B1422" s="6">
        <f>A1422</f>
        <v>1369</v>
      </c>
      <c r="C1422" s="19" t="s">
        <v>1686</v>
      </c>
      <c r="D1422" s="4">
        <f t="shared" si="770"/>
        <v>8575000</v>
      </c>
      <c r="E1422" s="1">
        <f>SUM(F1422:K1422)</f>
        <v>0</v>
      </c>
      <c r="F1422" s="1">
        <v>0</v>
      </c>
      <c r="G1422" s="1">
        <v>0</v>
      </c>
      <c r="H1422" s="1">
        <v>0</v>
      </c>
      <c r="I1422" s="1">
        <v>0</v>
      </c>
      <c r="J1422" s="1">
        <v>0</v>
      </c>
      <c r="K1422" s="1">
        <v>0</v>
      </c>
      <c r="L1422" s="2">
        <v>0</v>
      </c>
      <c r="M1422" s="1">
        <v>0</v>
      </c>
      <c r="N1422" s="1">
        <v>1100</v>
      </c>
      <c r="O1422" s="1">
        <f>N1422*7750</f>
        <v>8525000</v>
      </c>
      <c r="P1422" s="1">
        <v>0</v>
      </c>
      <c r="Q1422" s="1">
        <f>P1422*1400</f>
        <v>0</v>
      </c>
      <c r="R1422" s="1">
        <v>0</v>
      </c>
      <c r="S1422" s="1">
        <f>R1422*3751</f>
        <v>0</v>
      </c>
      <c r="T1422" s="1">
        <v>0</v>
      </c>
      <c r="U1422" s="1">
        <v>0</v>
      </c>
      <c r="V1422" s="1">
        <v>0</v>
      </c>
      <c r="W1422" s="1">
        <v>50000</v>
      </c>
      <c r="X1422" s="1">
        <v>0</v>
      </c>
      <c r="Y1422" s="1">
        <v>0</v>
      </c>
      <c r="Z1422" s="1">
        <v>0</v>
      </c>
      <c r="AA1422" s="1">
        <v>0</v>
      </c>
      <c r="AB1422" s="1">
        <v>0</v>
      </c>
      <c r="AC1422" s="1">
        <v>0</v>
      </c>
      <c r="AD1422" s="1">
        <v>0</v>
      </c>
    </row>
    <row r="1423" spans="1:30" s="20" customFormat="1" ht="36" customHeight="1" x14ac:dyDescent="0.25">
      <c r="A1423" s="2">
        <f t="shared" si="771"/>
        <v>1370</v>
      </c>
      <c r="B1423" s="6">
        <f t="shared" si="778"/>
        <v>1370</v>
      </c>
      <c r="C1423" s="19" t="s">
        <v>761</v>
      </c>
      <c r="D1423" s="4">
        <f t="shared" si="770"/>
        <v>16565098.600000001</v>
      </c>
      <c r="E1423" s="1">
        <f t="shared" si="774"/>
        <v>8820684.6000000015</v>
      </c>
      <c r="F1423" s="1">
        <f>804*2629.9</f>
        <v>2114439.6</v>
      </c>
      <c r="G1423" s="1">
        <f>1693*2629.9</f>
        <v>4452420.7</v>
      </c>
      <c r="H1423" s="1">
        <f>390*2629.9</f>
        <v>1025661</v>
      </c>
      <c r="I1423" s="1">
        <v>0</v>
      </c>
      <c r="J1423" s="1">
        <f>467*2629.9</f>
        <v>1228163.3</v>
      </c>
      <c r="K1423" s="1">
        <v>0</v>
      </c>
      <c r="L1423" s="2">
        <v>0</v>
      </c>
      <c r="M1423" s="1">
        <v>0</v>
      </c>
      <c r="N1423" s="1">
        <v>665</v>
      </c>
      <c r="O1423" s="1">
        <f>N1423*7750</f>
        <v>5153750</v>
      </c>
      <c r="P1423" s="1">
        <v>0</v>
      </c>
      <c r="Q1423" s="1">
        <f t="shared" si="777"/>
        <v>0</v>
      </c>
      <c r="R1423" s="1">
        <v>664</v>
      </c>
      <c r="S1423" s="1">
        <f t="shared" si="776"/>
        <v>2490664</v>
      </c>
      <c r="T1423" s="1">
        <v>0</v>
      </c>
      <c r="U1423" s="1">
        <v>50000</v>
      </c>
      <c r="V1423" s="1">
        <v>0</v>
      </c>
      <c r="W1423" s="1">
        <v>50000</v>
      </c>
      <c r="X1423" s="1">
        <v>0</v>
      </c>
      <c r="Y1423" s="1">
        <v>0</v>
      </c>
      <c r="Z1423" s="1">
        <v>0</v>
      </c>
      <c r="AA1423" s="1">
        <v>0</v>
      </c>
      <c r="AB1423" s="1">
        <v>0</v>
      </c>
      <c r="AC1423" s="1">
        <v>0</v>
      </c>
      <c r="AD1423" s="1">
        <v>0</v>
      </c>
    </row>
    <row r="1424" spans="1:30" s="20" customFormat="1" ht="36" customHeight="1" x14ac:dyDescent="0.25">
      <c r="A1424" s="2">
        <f t="shared" si="771"/>
        <v>1371</v>
      </c>
      <c r="B1424" s="6">
        <f t="shared" si="778"/>
        <v>1371</v>
      </c>
      <c r="C1424" s="29" t="s">
        <v>1641</v>
      </c>
      <c r="D1424" s="4">
        <f t="shared" si="770"/>
        <v>2093058</v>
      </c>
      <c r="E1424" s="1">
        <f t="shared" si="774"/>
        <v>0</v>
      </c>
      <c r="F1424" s="1">
        <v>0</v>
      </c>
      <c r="G1424" s="1">
        <v>0</v>
      </c>
      <c r="H1424" s="1">
        <v>0</v>
      </c>
      <c r="I1424" s="1">
        <v>0</v>
      </c>
      <c r="J1424" s="1">
        <v>0</v>
      </c>
      <c r="K1424" s="1">
        <v>0</v>
      </c>
      <c r="L1424" s="2">
        <v>0</v>
      </c>
      <c r="M1424" s="1">
        <v>0</v>
      </c>
      <c r="N1424" s="1">
        <v>0</v>
      </c>
      <c r="O1424" s="1">
        <v>0</v>
      </c>
      <c r="P1424" s="1">
        <v>0</v>
      </c>
      <c r="Q1424" s="1">
        <f t="shared" si="777"/>
        <v>0</v>
      </c>
      <c r="R1424" s="1">
        <v>558</v>
      </c>
      <c r="S1424" s="1">
        <f>R1424*3751</f>
        <v>2093058</v>
      </c>
      <c r="T1424" s="1">
        <v>0</v>
      </c>
      <c r="U1424" s="1">
        <v>0</v>
      </c>
      <c r="V1424" s="1">
        <v>0</v>
      </c>
      <c r="W1424" s="1">
        <v>0</v>
      </c>
      <c r="X1424" s="1">
        <v>0</v>
      </c>
      <c r="Y1424" s="1">
        <v>0</v>
      </c>
      <c r="Z1424" s="1">
        <v>0</v>
      </c>
      <c r="AA1424" s="1">
        <v>0</v>
      </c>
      <c r="AB1424" s="1">
        <v>0</v>
      </c>
      <c r="AC1424" s="1">
        <v>0</v>
      </c>
      <c r="AD1424" s="1">
        <v>0</v>
      </c>
    </row>
    <row r="1425" spans="1:30" s="20" customFormat="1" ht="36" customHeight="1" x14ac:dyDescent="0.25">
      <c r="A1425" s="2">
        <f t="shared" si="771"/>
        <v>1372</v>
      </c>
      <c r="B1425" s="6">
        <f t="shared" ref="B1425:B1430" si="779">A1425</f>
        <v>1372</v>
      </c>
      <c r="C1425" s="29" t="s">
        <v>135</v>
      </c>
      <c r="D1425" s="4">
        <f t="shared" si="770"/>
        <v>2471909</v>
      </c>
      <c r="E1425" s="1">
        <f t="shared" si="774"/>
        <v>0</v>
      </c>
      <c r="F1425" s="1">
        <v>0</v>
      </c>
      <c r="G1425" s="1">
        <v>0</v>
      </c>
      <c r="H1425" s="1">
        <v>0</v>
      </c>
      <c r="I1425" s="1">
        <v>0</v>
      </c>
      <c r="J1425" s="1">
        <v>0</v>
      </c>
      <c r="K1425" s="1">
        <v>0</v>
      </c>
      <c r="L1425" s="2">
        <v>0</v>
      </c>
      <c r="M1425" s="1">
        <v>0</v>
      </c>
      <c r="N1425" s="1">
        <v>0</v>
      </c>
      <c r="O1425" s="1">
        <v>0</v>
      </c>
      <c r="P1425" s="1">
        <v>0</v>
      </c>
      <c r="Q1425" s="1">
        <f t="shared" si="777"/>
        <v>0</v>
      </c>
      <c r="R1425" s="1">
        <v>659</v>
      </c>
      <c r="S1425" s="1">
        <f>R1425*3751</f>
        <v>2471909</v>
      </c>
      <c r="T1425" s="1">
        <v>0</v>
      </c>
      <c r="U1425" s="1">
        <v>0</v>
      </c>
      <c r="V1425" s="1">
        <v>0</v>
      </c>
      <c r="W1425" s="1">
        <v>0</v>
      </c>
      <c r="X1425" s="1">
        <v>0</v>
      </c>
      <c r="Y1425" s="1">
        <v>0</v>
      </c>
      <c r="Z1425" s="1">
        <v>0</v>
      </c>
      <c r="AA1425" s="1">
        <v>0</v>
      </c>
      <c r="AB1425" s="1">
        <v>0</v>
      </c>
      <c r="AC1425" s="1">
        <v>0</v>
      </c>
      <c r="AD1425" s="1">
        <v>0</v>
      </c>
    </row>
    <row r="1426" spans="1:30" s="20" customFormat="1" ht="36" customHeight="1" x14ac:dyDescent="0.25">
      <c r="A1426" s="2">
        <f t="shared" si="771"/>
        <v>1373</v>
      </c>
      <c r="B1426" s="6">
        <f t="shared" si="779"/>
        <v>1373</v>
      </c>
      <c r="C1426" s="29" t="s">
        <v>137</v>
      </c>
      <c r="D1426" s="4">
        <f t="shared" si="770"/>
        <v>3799763</v>
      </c>
      <c r="E1426" s="1">
        <f t="shared" si="774"/>
        <v>0</v>
      </c>
      <c r="F1426" s="1">
        <v>0</v>
      </c>
      <c r="G1426" s="1">
        <v>0</v>
      </c>
      <c r="H1426" s="1">
        <v>0</v>
      </c>
      <c r="I1426" s="1">
        <v>0</v>
      </c>
      <c r="J1426" s="1">
        <v>0</v>
      </c>
      <c r="K1426" s="1">
        <v>0</v>
      </c>
      <c r="L1426" s="2">
        <v>0</v>
      </c>
      <c r="M1426" s="1">
        <v>0</v>
      </c>
      <c r="N1426" s="1">
        <v>0</v>
      </c>
      <c r="O1426" s="1">
        <v>0</v>
      </c>
      <c r="P1426" s="1">
        <v>0</v>
      </c>
      <c r="Q1426" s="1">
        <f t="shared" si="777"/>
        <v>0</v>
      </c>
      <c r="R1426" s="1">
        <v>1013</v>
      </c>
      <c r="S1426" s="1">
        <f t="shared" ref="S1426:S1431" si="780">R1426*3751</f>
        <v>3799763</v>
      </c>
      <c r="T1426" s="1">
        <v>0</v>
      </c>
      <c r="U1426" s="1">
        <v>0</v>
      </c>
      <c r="V1426" s="1">
        <v>0</v>
      </c>
      <c r="W1426" s="1">
        <v>0</v>
      </c>
      <c r="X1426" s="1">
        <v>0</v>
      </c>
      <c r="Y1426" s="1">
        <v>0</v>
      </c>
      <c r="Z1426" s="1">
        <v>0</v>
      </c>
      <c r="AA1426" s="1">
        <v>0</v>
      </c>
      <c r="AB1426" s="1">
        <v>0</v>
      </c>
      <c r="AC1426" s="1">
        <v>0</v>
      </c>
      <c r="AD1426" s="1">
        <v>0</v>
      </c>
    </row>
    <row r="1427" spans="1:30" s="20" customFormat="1" ht="36" customHeight="1" x14ac:dyDescent="0.25">
      <c r="A1427" s="2">
        <f t="shared" si="771"/>
        <v>1374</v>
      </c>
      <c r="B1427" s="6">
        <f t="shared" si="779"/>
        <v>1374</v>
      </c>
      <c r="C1427" s="29" t="s">
        <v>138</v>
      </c>
      <c r="D1427" s="4">
        <f t="shared" si="770"/>
        <v>5131368</v>
      </c>
      <c r="E1427" s="1">
        <f t="shared" si="774"/>
        <v>0</v>
      </c>
      <c r="F1427" s="1">
        <v>0</v>
      </c>
      <c r="G1427" s="1">
        <v>0</v>
      </c>
      <c r="H1427" s="1">
        <v>0</v>
      </c>
      <c r="I1427" s="1">
        <v>0</v>
      </c>
      <c r="J1427" s="1">
        <v>0</v>
      </c>
      <c r="K1427" s="1">
        <v>0</v>
      </c>
      <c r="L1427" s="2">
        <v>0</v>
      </c>
      <c r="M1427" s="1">
        <v>0</v>
      </c>
      <c r="N1427" s="1">
        <v>0</v>
      </c>
      <c r="O1427" s="1">
        <v>0</v>
      </c>
      <c r="P1427" s="1">
        <v>0</v>
      </c>
      <c r="Q1427" s="1">
        <f t="shared" si="777"/>
        <v>0</v>
      </c>
      <c r="R1427" s="1">
        <v>1368</v>
      </c>
      <c r="S1427" s="1">
        <f t="shared" si="780"/>
        <v>5131368</v>
      </c>
      <c r="T1427" s="1">
        <v>0</v>
      </c>
      <c r="U1427" s="1">
        <v>0</v>
      </c>
      <c r="V1427" s="1">
        <v>0</v>
      </c>
      <c r="W1427" s="1">
        <v>0</v>
      </c>
      <c r="X1427" s="1">
        <v>0</v>
      </c>
      <c r="Y1427" s="1">
        <v>0</v>
      </c>
      <c r="Z1427" s="1">
        <v>0</v>
      </c>
      <c r="AA1427" s="1">
        <v>0</v>
      </c>
      <c r="AB1427" s="1">
        <v>0</v>
      </c>
      <c r="AC1427" s="1">
        <v>0</v>
      </c>
      <c r="AD1427" s="1">
        <v>0</v>
      </c>
    </row>
    <row r="1428" spans="1:30" s="20" customFormat="1" ht="36" customHeight="1" x14ac:dyDescent="0.25">
      <c r="A1428" s="2">
        <f t="shared" si="771"/>
        <v>1375</v>
      </c>
      <c r="B1428" s="6">
        <f t="shared" si="779"/>
        <v>1375</v>
      </c>
      <c r="C1428" s="29" t="s">
        <v>139</v>
      </c>
      <c r="D1428" s="4">
        <f t="shared" si="770"/>
        <v>6046952</v>
      </c>
      <c r="E1428" s="1">
        <f t="shared" si="774"/>
        <v>5996952</v>
      </c>
      <c r="F1428" s="1">
        <f>804*1788</f>
        <v>1437552</v>
      </c>
      <c r="G1428" s="1">
        <f>1693*1788</f>
        <v>3027084</v>
      </c>
      <c r="H1428" s="1">
        <f>390*1788</f>
        <v>697320</v>
      </c>
      <c r="I1428" s="1">
        <v>0</v>
      </c>
      <c r="J1428" s="1">
        <f>467*1788</f>
        <v>834996</v>
      </c>
      <c r="K1428" s="1">
        <v>0</v>
      </c>
      <c r="L1428" s="2">
        <v>0</v>
      </c>
      <c r="M1428" s="1">
        <v>0</v>
      </c>
      <c r="N1428" s="1">
        <v>0</v>
      </c>
      <c r="O1428" s="1">
        <v>0</v>
      </c>
      <c r="P1428" s="1">
        <v>0</v>
      </c>
      <c r="Q1428" s="1">
        <f t="shared" si="777"/>
        <v>0</v>
      </c>
      <c r="R1428" s="1">
        <v>0</v>
      </c>
      <c r="S1428" s="1">
        <f t="shared" si="780"/>
        <v>0</v>
      </c>
      <c r="T1428" s="1">
        <v>0</v>
      </c>
      <c r="U1428" s="1">
        <v>50000</v>
      </c>
      <c r="V1428" s="1">
        <v>0</v>
      </c>
      <c r="W1428" s="1">
        <v>0</v>
      </c>
      <c r="X1428" s="1">
        <v>0</v>
      </c>
      <c r="Y1428" s="1">
        <v>0</v>
      </c>
      <c r="Z1428" s="1">
        <v>0</v>
      </c>
      <c r="AA1428" s="1">
        <v>0</v>
      </c>
      <c r="AB1428" s="1">
        <v>0</v>
      </c>
      <c r="AC1428" s="1">
        <v>0</v>
      </c>
      <c r="AD1428" s="1">
        <v>0</v>
      </c>
    </row>
    <row r="1429" spans="1:30" s="20" customFormat="1" ht="36" customHeight="1" x14ac:dyDescent="0.25">
      <c r="A1429" s="2">
        <f t="shared" si="771"/>
        <v>1376</v>
      </c>
      <c r="B1429" s="6">
        <f t="shared" si="779"/>
        <v>1376</v>
      </c>
      <c r="C1429" s="29" t="s">
        <v>762</v>
      </c>
      <c r="D1429" s="4">
        <f t="shared" si="770"/>
        <v>4043816.1999999997</v>
      </c>
      <c r="E1429" s="1">
        <f>SUM(F1429:K1429)</f>
        <v>2278372.1999999997</v>
      </c>
      <c r="F1429" s="1">
        <f>804*679.3</f>
        <v>546157.19999999995</v>
      </c>
      <c r="G1429" s="1">
        <f>1693*679.3</f>
        <v>1150054.8999999999</v>
      </c>
      <c r="H1429" s="1">
        <f>390*679.3</f>
        <v>264927</v>
      </c>
      <c r="I1429" s="1">
        <v>0</v>
      </c>
      <c r="J1429" s="1">
        <f>467*679.3</f>
        <v>317233.09999999998</v>
      </c>
      <c r="K1429" s="1">
        <v>0</v>
      </c>
      <c r="L1429" s="2">
        <v>0</v>
      </c>
      <c r="M1429" s="1">
        <v>0</v>
      </c>
      <c r="N1429" s="1">
        <v>0</v>
      </c>
      <c r="O1429" s="1">
        <v>0</v>
      </c>
      <c r="P1429" s="1">
        <v>0</v>
      </c>
      <c r="Q1429" s="1">
        <f>P1429*1400</f>
        <v>0</v>
      </c>
      <c r="R1429" s="1">
        <v>444</v>
      </c>
      <c r="S1429" s="1">
        <f>R1429*3751</f>
        <v>1665444</v>
      </c>
      <c r="T1429" s="1">
        <v>0</v>
      </c>
      <c r="U1429" s="1">
        <v>50000</v>
      </c>
      <c r="V1429" s="1">
        <v>0</v>
      </c>
      <c r="W1429" s="1">
        <v>50000</v>
      </c>
      <c r="X1429" s="1">
        <v>0</v>
      </c>
      <c r="Y1429" s="1">
        <v>0</v>
      </c>
      <c r="Z1429" s="1">
        <v>0</v>
      </c>
      <c r="AA1429" s="1">
        <v>0</v>
      </c>
      <c r="AB1429" s="1">
        <v>0</v>
      </c>
      <c r="AC1429" s="1">
        <v>0</v>
      </c>
      <c r="AD1429" s="1">
        <v>0</v>
      </c>
    </row>
    <row r="1430" spans="1:30" s="20" customFormat="1" ht="36" customHeight="1" x14ac:dyDescent="0.25">
      <c r="A1430" s="2">
        <f t="shared" si="771"/>
        <v>1377</v>
      </c>
      <c r="B1430" s="6">
        <f t="shared" si="779"/>
        <v>1377</v>
      </c>
      <c r="C1430" s="29" t="s">
        <v>140</v>
      </c>
      <c r="D1430" s="4">
        <f t="shared" si="770"/>
        <v>1943018</v>
      </c>
      <c r="E1430" s="1">
        <f t="shared" si="774"/>
        <v>0</v>
      </c>
      <c r="F1430" s="1">
        <v>0</v>
      </c>
      <c r="G1430" s="1">
        <v>0</v>
      </c>
      <c r="H1430" s="1">
        <v>0</v>
      </c>
      <c r="I1430" s="1">
        <v>0</v>
      </c>
      <c r="J1430" s="1">
        <v>0</v>
      </c>
      <c r="K1430" s="1">
        <v>0</v>
      </c>
      <c r="L1430" s="2">
        <v>0</v>
      </c>
      <c r="M1430" s="1">
        <v>0</v>
      </c>
      <c r="N1430" s="1">
        <v>0</v>
      </c>
      <c r="O1430" s="1">
        <v>0</v>
      </c>
      <c r="P1430" s="1">
        <v>0</v>
      </c>
      <c r="Q1430" s="1">
        <f t="shared" si="777"/>
        <v>0</v>
      </c>
      <c r="R1430" s="1">
        <v>518</v>
      </c>
      <c r="S1430" s="1">
        <f t="shared" si="780"/>
        <v>1943018</v>
      </c>
      <c r="T1430" s="1">
        <v>0</v>
      </c>
      <c r="U1430" s="1">
        <v>0</v>
      </c>
      <c r="V1430" s="1">
        <v>0</v>
      </c>
      <c r="W1430" s="1">
        <v>0</v>
      </c>
      <c r="X1430" s="1">
        <v>0</v>
      </c>
      <c r="Y1430" s="1">
        <v>0</v>
      </c>
      <c r="Z1430" s="1">
        <v>0</v>
      </c>
      <c r="AA1430" s="1">
        <v>0</v>
      </c>
      <c r="AB1430" s="1">
        <v>0</v>
      </c>
      <c r="AC1430" s="1">
        <v>0</v>
      </c>
      <c r="AD1430" s="1">
        <v>0</v>
      </c>
    </row>
    <row r="1431" spans="1:30" s="20" customFormat="1" ht="36" customHeight="1" x14ac:dyDescent="0.25">
      <c r="A1431" s="2">
        <f t="shared" si="771"/>
        <v>1378</v>
      </c>
      <c r="B1431" s="6">
        <f t="shared" si="778"/>
        <v>1378</v>
      </c>
      <c r="C1431" s="29" t="s">
        <v>763</v>
      </c>
      <c r="D1431" s="4">
        <f t="shared" si="770"/>
        <v>2268158.7000000002</v>
      </c>
      <c r="E1431" s="1">
        <f t="shared" si="774"/>
        <v>2168158.7000000002</v>
      </c>
      <c r="F1431" s="1">
        <v>0</v>
      </c>
      <c r="G1431" s="1">
        <f>1693*694.7</f>
        <v>1176127.1000000001</v>
      </c>
      <c r="H1431" s="1">
        <f>390*694.7</f>
        <v>270933</v>
      </c>
      <c r="I1431" s="1">
        <f>571*694.7</f>
        <v>396673.7</v>
      </c>
      <c r="J1431" s="1">
        <f>467*694.7</f>
        <v>324424.90000000002</v>
      </c>
      <c r="K1431" s="1">
        <v>0</v>
      </c>
      <c r="L1431" s="2">
        <v>0</v>
      </c>
      <c r="M1431" s="1">
        <v>0</v>
      </c>
      <c r="N1431" s="1">
        <v>0</v>
      </c>
      <c r="O1431" s="1">
        <v>0</v>
      </c>
      <c r="P1431" s="1">
        <v>0</v>
      </c>
      <c r="Q1431" s="1">
        <f t="shared" si="777"/>
        <v>0</v>
      </c>
      <c r="R1431" s="1">
        <v>0</v>
      </c>
      <c r="S1431" s="1">
        <f t="shared" si="780"/>
        <v>0</v>
      </c>
      <c r="T1431" s="1">
        <v>0</v>
      </c>
      <c r="U1431" s="1">
        <v>50000</v>
      </c>
      <c r="V1431" s="1">
        <v>0</v>
      </c>
      <c r="W1431" s="1">
        <v>50000</v>
      </c>
      <c r="X1431" s="1">
        <v>0</v>
      </c>
      <c r="Y1431" s="1">
        <v>0</v>
      </c>
      <c r="Z1431" s="1">
        <v>0</v>
      </c>
      <c r="AA1431" s="1">
        <v>0</v>
      </c>
      <c r="AB1431" s="1">
        <v>0</v>
      </c>
      <c r="AC1431" s="1">
        <v>0</v>
      </c>
      <c r="AD1431" s="1">
        <v>0</v>
      </c>
    </row>
    <row r="1432" spans="1:30" s="20" customFormat="1" ht="36" customHeight="1" x14ac:dyDescent="0.25">
      <c r="A1432" s="2">
        <f t="shared" si="771"/>
        <v>1379</v>
      </c>
      <c r="B1432" s="6">
        <f t="shared" si="778"/>
        <v>1379</v>
      </c>
      <c r="C1432" s="19" t="s">
        <v>765</v>
      </c>
      <c r="D1432" s="4">
        <f t="shared" si="770"/>
        <v>3817000.8</v>
      </c>
      <c r="E1432" s="1">
        <f t="shared" si="774"/>
        <v>211210.8</v>
      </c>
      <c r="F1432" s="1">
        <f>804*262.7</f>
        <v>211210.8</v>
      </c>
      <c r="G1432" s="1">
        <v>0</v>
      </c>
      <c r="H1432" s="1">
        <v>0</v>
      </c>
      <c r="I1432" s="1">
        <v>0</v>
      </c>
      <c r="J1432" s="1">
        <v>0</v>
      </c>
      <c r="K1432" s="1">
        <v>0</v>
      </c>
      <c r="L1432" s="2">
        <v>0</v>
      </c>
      <c r="M1432" s="1">
        <v>0</v>
      </c>
      <c r="N1432" s="1">
        <v>312</v>
      </c>
      <c r="O1432" s="1">
        <f>N1432*7750</f>
        <v>2418000</v>
      </c>
      <c r="P1432" s="1">
        <v>0</v>
      </c>
      <c r="Q1432" s="1">
        <f t="shared" si="777"/>
        <v>0</v>
      </c>
      <c r="R1432" s="1">
        <v>290</v>
      </c>
      <c r="S1432" s="1">
        <f t="shared" ref="S1432:S1440" si="781">R1432*3751</f>
        <v>1087790</v>
      </c>
      <c r="T1432" s="1">
        <v>0</v>
      </c>
      <c r="U1432" s="1">
        <v>50000</v>
      </c>
      <c r="V1432" s="1">
        <v>0</v>
      </c>
      <c r="W1432" s="1">
        <v>50000</v>
      </c>
      <c r="X1432" s="1">
        <v>0</v>
      </c>
      <c r="Y1432" s="1">
        <v>0</v>
      </c>
      <c r="Z1432" s="1">
        <v>0</v>
      </c>
      <c r="AA1432" s="1">
        <v>0</v>
      </c>
      <c r="AB1432" s="1">
        <v>0</v>
      </c>
      <c r="AC1432" s="1">
        <v>0</v>
      </c>
      <c r="AD1432" s="1">
        <v>0</v>
      </c>
    </row>
    <row r="1433" spans="1:30" s="20" customFormat="1" ht="36" customHeight="1" x14ac:dyDescent="0.25">
      <c r="A1433" s="2">
        <f t="shared" si="771"/>
        <v>1380</v>
      </c>
      <c r="B1433" s="6">
        <f>A1433</f>
        <v>1380</v>
      </c>
      <c r="C1433" s="19" t="s">
        <v>1374</v>
      </c>
      <c r="D1433" s="4">
        <f t="shared" si="770"/>
        <v>7918578</v>
      </c>
      <c r="E1433" s="1">
        <f t="shared" si="774"/>
        <v>0</v>
      </c>
      <c r="F1433" s="1">
        <v>0</v>
      </c>
      <c r="G1433" s="1">
        <v>0</v>
      </c>
      <c r="H1433" s="1">
        <v>0</v>
      </c>
      <c r="I1433" s="1">
        <v>0</v>
      </c>
      <c r="J1433" s="1">
        <v>0</v>
      </c>
      <c r="K1433" s="1">
        <v>0</v>
      </c>
      <c r="L1433" s="2">
        <v>0</v>
      </c>
      <c r="M1433" s="1">
        <v>0</v>
      </c>
      <c r="N1433" s="1">
        <v>500</v>
      </c>
      <c r="O1433" s="1">
        <f>N1433*7750</f>
        <v>3875000</v>
      </c>
      <c r="P1433" s="1">
        <v>0</v>
      </c>
      <c r="Q1433" s="1">
        <f t="shared" si="777"/>
        <v>0</v>
      </c>
      <c r="R1433" s="1">
        <v>1078</v>
      </c>
      <c r="S1433" s="1">
        <f t="shared" si="781"/>
        <v>4043578</v>
      </c>
      <c r="T1433" s="1">
        <v>0</v>
      </c>
      <c r="U1433" s="1">
        <v>0</v>
      </c>
      <c r="V1433" s="1">
        <v>0</v>
      </c>
      <c r="W1433" s="1">
        <v>0</v>
      </c>
      <c r="X1433" s="1">
        <v>0</v>
      </c>
      <c r="Y1433" s="1">
        <v>0</v>
      </c>
      <c r="Z1433" s="1">
        <v>0</v>
      </c>
      <c r="AA1433" s="1">
        <v>0</v>
      </c>
      <c r="AB1433" s="1">
        <v>0</v>
      </c>
      <c r="AC1433" s="1">
        <v>0</v>
      </c>
      <c r="AD1433" s="1">
        <v>0</v>
      </c>
    </row>
    <row r="1434" spans="1:30" s="20" customFormat="1" ht="36" customHeight="1" x14ac:dyDescent="0.25">
      <c r="A1434" s="2">
        <f t="shared" si="771"/>
        <v>1381</v>
      </c>
      <c r="B1434" s="6">
        <f>A1434</f>
        <v>1381</v>
      </c>
      <c r="C1434" s="19" t="s">
        <v>766</v>
      </c>
      <c r="D1434" s="4">
        <f t="shared" si="770"/>
        <v>4204403</v>
      </c>
      <c r="E1434" s="1">
        <f t="shared" si="774"/>
        <v>1603755.0000000002</v>
      </c>
      <c r="F1434" s="1">
        <f>804*408.6</f>
        <v>328514.40000000002</v>
      </c>
      <c r="G1434" s="1">
        <f>1693*408.6</f>
        <v>691759.8</v>
      </c>
      <c r="H1434" s="1">
        <f>390*408.6</f>
        <v>159354</v>
      </c>
      <c r="I1434" s="1">
        <f>571*408.6</f>
        <v>233310.6</v>
      </c>
      <c r="J1434" s="1">
        <f>467*408.6</f>
        <v>190816.2</v>
      </c>
      <c r="K1434" s="1">
        <v>0</v>
      </c>
      <c r="L1434" s="2">
        <v>0</v>
      </c>
      <c r="M1434" s="1">
        <v>0</v>
      </c>
      <c r="N1434" s="1">
        <v>0</v>
      </c>
      <c r="O1434" s="1">
        <v>0</v>
      </c>
      <c r="P1434" s="1">
        <v>50</v>
      </c>
      <c r="Q1434" s="1">
        <f t="shared" si="777"/>
        <v>70000</v>
      </c>
      <c r="R1434" s="1">
        <v>648</v>
      </c>
      <c r="S1434" s="1">
        <f t="shared" si="781"/>
        <v>2430648</v>
      </c>
      <c r="T1434" s="1">
        <v>0</v>
      </c>
      <c r="U1434" s="1">
        <v>50000</v>
      </c>
      <c r="V1434" s="1">
        <v>0</v>
      </c>
      <c r="W1434" s="1">
        <v>50000</v>
      </c>
      <c r="X1434" s="1">
        <v>0</v>
      </c>
      <c r="Y1434" s="1">
        <v>0</v>
      </c>
      <c r="Z1434" s="1">
        <v>0</v>
      </c>
      <c r="AA1434" s="1">
        <v>0</v>
      </c>
      <c r="AB1434" s="1">
        <v>0</v>
      </c>
      <c r="AC1434" s="1">
        <v>0</v>
      </c>
      <c r="AD1434" s="1">
        <v>0</v>
      </c>
    </row>
    <row r="1435" spans="1:30" s="20" customFormat="1" ht="36" customHeight="1" x14ac:dyDescent="0.25">
      <c r="A1435" s="2">
        <f t="shared" si="771"/>
        <v>1382</v>
      </c>
      <c r="B1435" s="6">
        <f t="shared" si="778"/>
        <v>1382</v>
      </c>
      <c r="C1435" s="19" t="s">
        <v>1668</v>
      </c>
      <c r="D1435" s="4">
        <f t="shared" si="770"/>
        <v>9050853.4000000004</v>
      </c>
      <c r="E1435" s="1">
        <f t="shared" si="774"/>
        <v>2414097.4000000004</v>
      </c>
      <c r="F1435" s="1">
        <f>804*1453.4</f>
        <v>1168533.6000000001</v>
      </c>
      <c r="G1435" s="1">
        <v>0</v>
      </c>
      <c r="H1435" s="1">
        <f>390*1453.4</f>
        <v>566826</v>
      </c>
      <c r="I1435" s="1">
        <v>0</v>
      </c>
      <c r="J1435" s="1">
        <f>467*1453.4</f>
        <v>678737.8</v>
      </c>
      <c r="K1435" s="1">
        <v>0</v>
      </c>
      <c r="L1435" s="2">
        <v>0</v>
      </c>
      <c r="M1435" s="1">
        <v>0</v>
      </c>
      <c r="N1435" s="1">
        <v>0</v>
      </c>
      <c r="O1435" s="1">
        <v>0</v>
      </c>
      <c r="P1435" s="1">
        <v>0</v>
      </c>
      <c r="Q1435" s="1">
        <f t="shared" si="777"/>
        <v>0</v>
      </c>
      <c r="R1435" s="1">
        <v>1756</v>
      </c>
      <c r="S1435" s="1">
        <f t="shared" si="781"/>
        <v>6586756</v>
      </c>
      <c r="T1435" s="1">
        <v>0</v>
      </c>
      <c r="U1435" s="1">
        <v>50000</v>
      </c>
      <c r="V1435" s="1">
        <v>0</v>
      </c>
      <c r="W1435" s="1">
        <v>0</v>
      </c>
      <c r="X1435" s="1">
        <v>0</v>
      </c>
      <c r="Y1435" s="1">
        <v>0</v>
      </c>
      <c r="Z1435" s="1">
        <v>0</v>
      </c>
      <c r="AA1435" s="1">
        <v>0</v>
      </c>
      <c r="AB1435" s="1">
        <v>0</v>
      </c>
      <c r="AC1435" s="1">
        <v>0</v>
      </c>
      <c r="AD1435" s="1">
        <v>0</v>
      </c>
    </row>
    <row r="1436" spans="1:30" s="20" customFormat="1" ht="36" customHeight="1" x14ac:dyDescent="0.25">
      <c r="A1436" s="2">
        <f t="shared" si="771"/>
        <v>1383</v>
      </c>
      <c r="B1436" s="6">
        <f>A1436</f>
        <v>1383</v>
      </c>
      <c r="C1436" s="19" t="s">
        <v>767</v>
      </c>
      <c r="D1436" s="4">
        <f t="shared" si="770"/>
        <v>2332868.4</v>
      </c>
      <c r="E1436" s="1">
        <f t="shared" si="774"/>
        <v>917536.39999999991</v>
      </c>
      <c r="F1436" s="1">
        <f>804*552.4</f>
        <v>444129.6</v>
      </c>
      <c r="G1436" s="1">
        <v>0</v>
      </c>
      <c r="H1436" s="1">
        <f>390*552.4</f>
        <v>215436</v>
      </c>
      <c r="I1436" s="1">
        <v>0</v>
      </c>
      <c r="J1436" s="1">
        <f>467*552.4</f>
        <v>257970.8</v>
      </c>
      <c r="K1436" s="1">
        <v>0</v>
      </c>
      <c r="L1436" s="2">
        <v>0</v>
      </c>
      <c r="M1436" s="1">
        <v>0</v>
      </c>
      <c r="N1436" s="1">
        <v>0</v>
      </c>
      <c r="O1436" s="1">
        <f>N1436*4968</f>
        <v>0</v>
      </c>
      <c r="P1436" s="1">
        <v>50</v>
      </c>
      <c r="Q1436" s="1">
        <f t="shared" si="777"/>
        <v>70000</v>
      </c>
      <c r="R1436" s="1">
        <v>332</v>
      </c>
      <c r="S1436" s="1">
        <f t="shared" si="781"/>
        <v>1245332</v>
      </c>
      <c r="T1436" s="1">
        <v>0</v>
      </c>
      <c r="U1436" s="1">
        <v>50000</v>
      </c>
      <c r="V1436" s="1">
        <v>0</v>
      </c>
      <c r="W1436" s="1">
        <v>50000</v>
      </c>
      <c r="X1436" s="1">
        <v>0</v>
      </c>
      <c r="Y1436" s="1">
        <v>0</v>
      </c>
      <c r="Z1436" s="1">
        <v>0</v>
      </c>
      <c r="AA1436" s="1">
        <v>0</v>
      </c>
      <c r="AB1436" s="1">
        <v>0</v>
      </c>
      <c r="AC1436" s="1">
        <v>0</v>
      </c>
      <c r="AD1436" s="1">
        <v>0</v>
      </c>
    </row>
    <row r="1437" spans="1:30" s="20" customFormat="1" ht="36" customHeight="1" x14ac:dyDescent="0.25">
      <c r="A1437" s="2">
        <f t="shared" si="771"/>
        <v>1384</v>
      </c>
      <c r="B1437" s="6">
        <f>A1437</f>
        <v>1384</v>
      </c>
      <c r="C1437" s="19" t="s">
        <v>2509</v>
      </c>
      <c r="D1437" s="4">
        <f t="shared" si="770"/>
        <v>1674119.2</v>
      </c>
      <c r="E1437" s="1">
        <f t="shared" si="774"/>
        <v>496872</v>
      </c>
      <c r="F1437" s="1">
        <f>804*618</f>
        <v>496872</v>
      </c>
      <c r="G1437" s="1">
        <v>0</v>
      </c>
      <c r="H1437" s="1">
        <v>0</v>
      </c>
      <c r="I1437" s="1">
        <v>0</v>
      </c>
      <c r="J1437" s="1">
        <v>0</v>
      </c>
      <c r="K1437" s="1">
        <v>0</v>
      </c>
      <c r="L1437" s="2">
        <v>0</v>
      </c>
      <c r="M1437" s="1">
        <v>0</v>
      </c>
      <c r="N1437" s="1">
        <v>0</v>
      </c>
      <c r="O1437" s="1">
        <v>0</v>
      </c>
      <c r="P1437" s="1">
        <v>0</v>
      </c>
      <c r="Q1437" s="1">
        <f t="shared" si="777"/>
        <v>0</v>
      </c>
      <c r="R1437" s="1">
        <v>247.2</v>
      </c>
      <c r="S1437" s="1">
        <f t="shared" si="781"/>
        <v>927247.2</v>
      </c>
      <c r="T1437" s="1">
        <v>150000</v>
      </c>
      <c r="U1437" s="1">
        <v>50000</v>
      </c>
      <c r="V1437" s="1">
        <v>0</v>
      </c>
      <c r="W1437" s="1">
        <v>50000</v>
      </c>
      <c r="X1437" s="1">
        <v>0</v>
      </c>
      <c r="Y1437" s="1">
        <v>0</v>
      </c>
      <c r="Z1437" s="1">
        <v>0</v>
      </c>
      <c r="AA1437" s="1">
        <v>0</v>
      </c>
      <c r="AB1437" s="1">
        <v>0</v>
      </c>
      <c r="AC1437" s="1">
        <v>0</v>
      </c>
      <c r="AD1437" s="1">
        <v>0</v>
      </c>
    </row>
    <row r="1438" spans="1:30" s="20" customFormat="1" ht="36" customHeight="1" x14ac:dyDescent="0.25">
      <c r="A1438" s="2">
        <f t="shared" si="771"/>
        <v>1385</v>
      </c>
      <c r="B1438" s="6">
        <f>A1438</f>
        <v>1385</v>
      </c>
      <c r="C1438" s="19" t="s">
        <v>768</v>
      </c>
      <c r="D1438" s="4">
        <f t="shared" si="770"/>
        <v>4097968.5</v>
      </c>
      <c r="E1438" s="1">
        <f t="shared" si="774"/>
        <v>512418.5</v>
      </c>
      <c r="F1438" s="1">
        <f>804*308.5</f>
        <v>248034</v>
      </c>
      <c r="G1438" s="1">
        <v>0</v>
      </c>
      <c r="H1438" s="1">
        <f>390*308.5</f>
        <v>120315</v>
      </c>
      <c r="I1438" s="1">
        <v>0</v>
      </c>
      <c r="J1438" s="1">
        <f>467*308.5</f>
        <v>144069.5</v>
      </c>
      <c r="K1438" s="1">
        <v>0</v>
      </c>
      <c r="L1438" s="2">
        <v>0</v>
      </c>
      <c r="M1438" s="1">
        <v>0</v>
      </c>
      <c r="N1438" s="1">
        <v>311</v>
      </c>
      <c r="O1438" s="1">
        <f>N1438*7750</f>
        <v>2410250</v>
      </c>
      <c r="P1438" s="1">
        <v>0</v>
      </c>
      <c r="Q1438" s="1">
        <f t="shared" si="777"/>
        <v>0</v>
      </c>
      <c r="R1438" s="1">
        <v>300</v>
      </c>
      <c r="S1438" s="1">
        <f t="shared" si="781"/>
        <v>1125300</v>
      </c>
      <c r="T1438" s="1">
        <v>0</v>
      </c>
      <c r="U1438" s="1">
        <v>50000</v>
      </c>
      <c r="V1438" s="1">
        <v>0</v>
      </c>
      <c r="W1438" s="1">
        <v>0</v>
      </c>
      <c r="X1438" s="1">
        <v>0</v>
      </c>
      <c r="Y1438" s="1">
        <v>0</v>
      </c>
      <c r="Z1438" s="1">
        <v>0</v>
      </c>
      <c r="AA1438" s="1">
        <v>0</v>
      </c>
      <c r="AB1438" s="1">
        <v>0</v>
      </c>
      <c r="AC1438" s="1">
        <v>0</v>
      </c>
      <c r="AD1438" s="1">
        <v>0</v>
      </c>
    </row>
    <row r="1439" spans="1:30" s="20" customFormat="1" ht="36" customHeight="1" x14ac:dyDescent="0.25">
      <c r="A1439" s="2">
        <f t="shared" si="771"/>
        <v>1386</v>
      </c>
      <c r="B1439" s="6">
        <f>A1439</f>
        <v>1386</v>
      </c>
      <c r="C1439" s="19" t="s">
        <v>1960</v>
      </c>
      <c r="D1439" s="4">
        <f t="shared" si="770"/>
        <v>1628565.2</v>
      </c>
      <c r="E1439" s="1">
        <f t="shared" si="774"/>
        <v>340735.2</v>
      </c>
      <c r="F1439" s="1">
        <f>804*423.8</f>
        <v>340735.2</v>
      </c>
      <c r="G1439" s="1">
        <v>0</v>
      </c>
      <c r="H1439" s="1">
        <v>0</v>
      </c>
      <c r="I1439" s="1">
        <v>0</v>
      </c>
      <c r="J1439" s="1">
        <v>0</v>
      </c>
      <c r="K1439" s="1">
        <v>0</v>
      </c>
      <c r="L1439" s="2">
        <v>0</v>
      </c>
      <c r="M1439" s="1">
        <v>0</v>
      </c>
      <c r="N1439" s="1">
        <v>0</v>
      </c>
      <c r="O1439" s="1">
        <v>0</v>
      </c>
      <c r="P1439" s="1">
        <v>0</v>
      </c>
      <c r="Q1439" s="1">
        <f t="shared" si="777"/>
        <v>0</v>
      </c>
      <c r="R1439" s="1">
        <v>330</v>
      </c>
      <c r="S1439" s="1">
        <f t="shared" si="781"/>
        <v>1237830</v>
      </c>
      <c r="T1439" s="1">
        <v>0</v>
      </c>
      <c r="U1439" s="1">
        <v>50000</v>
      </c>
      <c r="V1439" s="1">
        <v>0</v>
      </c>
      <c r="W1439" s="1">
        <v>0</v>
      </c>
      <c r="X1439" s="1">
        <v>0</v>
      </c>
      <c r="Y1439" s="1">
        <v>0</v>
      </c>
      <c r="Z1439" s="1">
        <v>0</v>
      </c>
      <c r="AA1439" s="1">
        <v>0</v>
      </c>
      <c r="AB1439" s="1">
        <v>0</v>
      </c>
      <c r="AC1439" s="1">
        <v>0</v>
      </c>
      <c r="AD1439" s="1">
        <v>0</v>
      </c>
    </row>
    <row r="1440" spans="1:30" s="20" customFormat="1" ht="36" customHeight="1" x14ac:dyDescent="0.25">
      <c r="A1440" s="2">
        <f t="shared" si="771"/>
        <v>1387</v>
      </c>
      <c r="B1440" s="6">
        <f>A1440</f>
        <v>1387</v>
      </c>
      <c r="C1440" s="19" t="s">
        <v>147</v>
      </c>
      <c r="D1440" s="4">
        <f t="shared" si="770"/>
        <v>1224752.5000000002</v>
      </c>
      <c r="E1440" s="1">
        <f t="shared" si="774"/>
        <v>1174752.5000000002</v>
      </c>
      <c r="F1440" s="1">
        <f>804*299.3</f>
        <v>240637.2</v>
      </c>
      <c r="G1440" s="1">
        <f>1693*299.3</f>
        <v>506714.9</v>
      </c>
      <c r="H1440" s="1">
        <f>390*299.3</f>
        <v>116727</v>
      </c>
      <c r="I1440" s="1">
        <f>571*299.3</f>
        <v>170900.30000000002</v>
      </c>
      <c r="J1440" s="1">
        <f>467*299.3</f>
        <v>139773.1</v>
      </c>
      <c r="K1440" s="1">
        <v>0</v>
      </c>
      <c r="L1440" s="2">
        <v>0</v>
      </c>
      <c r="M1440" s="1">
        <v>0</v>
      </c>
      <c r="N1440" s="1">
        <v>0</v>
      </c>
      <c r="O1440" s="1">
        <v>0</v>
      </c>
      <c r="P1440" s="1">
        <v>0</v>
      </c>
      <c r="Q1440" s="1">
        <f t="shared" si="777"/>
        <v>0</v>
      </c>
      <c r="R1440" s="1">
        <v>0</v>
      </c>
      <c r="S1440" s="1">
        <f t="shared" si="781"/>
        <v>0</v>
      </c>
      <c r="T1440" s="1">
        <v>0</v>
      </c>
      <c r="U1440" s="1">
        <v>50000</v>
      </c>
      <c r="V1440" s="1">
        <v>0</v>
      </c>
      <c r="W1440" s="1">
        <v>0</v>
      </c>
      <c r="X1440" s="1">
        <v>0</v>
      </c>
      <c r="Y1440" s="1">
        <v>0</v>
      </c>
      <c r="Z1440" s="1">
        <v>0</v>
      </c>
      <c r="AA1440" s="1">
        <v>0</v>
      </c>
      <c r="AB1440" s="1">
        <v>0</v>
      </c>
      <c r="AC1440" s="1">
        <v>0</v>
      </c>
      <c r="AD1440" s="1">
        <v>0</v>
      </c>
    </row>
    <row r="1441" spans="1:30" s="20" customFormat="1" ht="54.95" customHeight="1" x14ac:dyDescent="0.25">
      <c r="A1441" s="3"/>
      <c r="B1441" s="47" t="s">
        <v>1979</v>
      </c>
      <c r="C1441" s="48"/>
      <c r="D1441" s="4">
        <f>SUM(D1442:D1469)</f>
        <v>167347775.25</v>
      </c>
      <c r="E1441" s="4">
        <f t="shared" ref="E1441:AD1441" si="782">SUM(E1442:E1469)</f>
        <v>64233823.25</v>
      </c>
      <c r="F1441" s="4">
        <f t="shared" si="782"/>
        <v>17880156</v>
      </c>
      <c r="G1441" s="4">
        <f t="shared" si="782"/>
        <v>27513146.159999996</v>
      </c>
      <c r="H1441" s="4">
        <f t="shared" si="782"/>
        <v>7312539</v>
      </c>
      <c r="I1441" s="4">
        <f t="shared" si="782"/>
        <v>2771685.39</v>
      </c>
      <c r="J1441" s="4">
        <f t="shared" si="782"/>
        <v>8756296.6999999993</v>
      </c>
      <c r="K1441" s="4">
        <f t="shared" si="782"/>
        <v>0</v>
      </c>
      <c r="L1441" s="17">
        <f t="shared" si="782"/>
        <v>0</v>
      </c>
      <c r="M1441" s="4">
        <f t="shared" si="782"/>
        <v>0</v>
      </c>
      <c r="N1441" s="4">
        <f t="shared" si="782"/>
        <v>8341</v>
      </c>
      <c r="O1441" s="4">
        <f t="shared" si="782"/>
        <v>53772376</v>
      </c>
      <c r="P1441" s="4">
        <f t="shared" si="782"/>
        <v>50</v>
      </c>
      <c r="Q1441" s="4">
        <f t="shared" si="782"/>
        <v>70000</v>
      </c>
      <c r="R1441" s="4">
        <f t="shared" si="782"/>
        <v>11576</v>
      </c>
      <c r="S1441" s="4">
        <f t="shared" si="782"/>
        <v>43421576</v>
      </c>
      <c r="T1441" s="4">
        <f t="shared" si="782"/>
        <v>3750000</v>
      </c>
      <c r="U1441" s="4">
        <f t="shared" si="782"/>
        <v>1350000</v>
      </c>
      <c r="V1441" s="4">
        <f t="shared" si="782"/>
        <v>0</v>
      </c>
      <c r="W1441" s="4">
        <f t="shared" si="782"/>
        <v>750000</v>
      </c>
      <c r="X1441" s="4">
        <f t="shared" si="782"/>
        <v>0</v>
      </c>
      <c r="Y1441" s="4">
        <f t="shared" si="782"/>
        <v>0</v>
      </c>
      <c r="Z1441" s="4">
        <f t="shared" si="782"/>
        <v>0</v>
      </c>
      <c r="AA1441" s="4">
        <f t="shared" si="782"/>
        <v>0</v>
      </c>
      <c r="AB1441" s="4">
        <f t="shared" si="782"/>
        <v>0</v>
      </c>
      <c r="AC1441" s="4">
        <f t="shared" si="782"/>
        <v>0</v>
      </c>
      <c r="AD1441" s="4">
        <f t="shared" si="782"/>
        <v>0</v>
      </c>
    </row>
    <row r="1442" spans="1:30" s="20" customFormat="1" ht="36" customHeight="1" x14ac:dyDescent="0.25">
      <c r="A1442" s="2">
        <f t="shared" ref="A1442:A1469" si="783">ROW()-ROW($A$11)-43</f>
        <v>1388</v>
      </c>
      <c r="B1442" s="6">
        <f>A1442</f>
        <v>1388</v>
      </c>
      <c r="C1442" s="19" t="s">
        <v>148</v>
      </c>
      <c r="D1442" s="4">
        <f t="shared" ref="D1442:D1469" si="784">E1442+M1442+O1442+Q1442+S1442+T1442+U1442+V1442+W1442+X1442+Z1442+AA1442+AB1442+AC1442+AD1442</f>
        <v>3086444.9999999995</v>
      </c>
      <c r="E1442" s="1">
        <f>SUM(F1442:K1442)</f>
        <v>2886444.9999999995</v>
      </c>
      <c r="F1442" s="1">
        <f>804*735.4</f>
        <v>591261.6</v>
      </c>
      <c r="G1442" s="1">
        <f>1693*735.4</f>
        <v>1245032.2</v>
      </c>
      <c r="H1442" s="1">
        <f>390*735.4</f>
        <v>286806</v>
      </c>
      <c r="I1442" s="1">
        <f>571*735.4</f>
        <v>419913.39999999997</v>
      </c>
      <c r="J1442" s="1">
        <f>467*735.4</f>
        <v>343431.8</v>
      </c>
      <c r="K1442" s="1">
        <v>0</v>
      </c>
      <c r="L1442" s="2">
        <v>0</v>
      </c>
      <c r="M1442" s="1">
        <v>0</v>
      </c>
      <c r="N1442" s="1">
        <v>0</v>
      </c>
      <c r="O1442" s="1">
        <v>0</v>
      </c>
      <c r="P1442" s="1">
        <v>0</v>
      </c>
      <c r="Q1442" s="1">
        <f>P1442*1400</f>
        <v>0</v>
      </c>
      <c r="R1442" s="1">
        <v>0</v>
      </c>
      <c r="S1442" s="1">
        <f>R1442*3751</f>
        <v>0</v>
      </c>
      <c r="T1442" s="1">
        <v>150000</v>
      </c>
      <c r="U1442" s="1">
        <v>50000</v>
      </c>
      <c r="V1442" s="1">
        <v>0</v>
      </c>
      <c r="W1442" s="1">
        <v>0</v>
      </c>
      <c r="X1442" s="1">
        <v>0</v>
      </c>
      <c r="Y1442" s="1">
        <v>0</v>
      </c>
      <c r="Z1442" s="1">
        <v>0</v>
      </c>
      <c r="AA1442" s="1">
        <v>0</v>
      </c>
      <c r="AB1442" s="1">
        <v>0</v>
      </c>
      <c r="AC1442" s="1">
        <v>0</v>
      </c>
      <c r="AD1442" s="1">
        <v>0</v>
      </c>
    </row>
    <row r="1443" spans="1:30" s="20" customFormat="1" ht="36" customHeight="1" x14ac:dyDescent="0.25">
      <c r="A1443" s="2">
        <f>ROW()-ROW($A$11)-43</f>
        <v>1389</v>
      </c>
      <c r="B1443" s="6">
        <f>A1443</f>
        <v>1389</v>
      </c>
      <c r="C1443" s="19" t="s">
        <v>150</v>
      </c>
      <c r="D1443" s="4">
        <f t="shared" si="784"/>
        <v>3223819.9999999995</v>
      </c>
      <c r="E1443" s="1">
        <f>SUM(F1443:K1443)</f>
        <v>3023819.9999999995</v>
      </c>
      <c r="F1443" s="1">
        <f>804*770.4</f>
        <v>619401.6</v>
      </c>
      <c r="G1443" s="1">
        <f>1693*770.4</f>
        <v>1304287.2</v>
      </c>
      <c r="H1443" s="1">
        <f>390*770.4</f>
        <v>300456</v>
      </c>
      <c r="I1443" s="1">
        <f>571*770.4</f>
        <v>439898.39999999997</v>
      </c>
      <c r="J1443" s="1">
        <f>467*770.4</f>
        <v>359776.8</v>
      </c>
      <c r="K1443" s="1">
        <v>0</v>
      </c>
      <c r="L1443" s="2">
        <v>0</v>
      </c>
      <c r="M1443" s="1">
        <v>0</v>
      </c>
      <c r="N1443" s="1">
        <v>0</v>
      </c>
      <c r="O1443" s="1">
        <v>0</v>
      </c>
      <c r="P1443" s="1">
        <v>0</v>
      </c>
      <c r="Q1443" s="1">
        <f>P1443*1400</f>
        <v>0</v>
      </c>
      <c r="R1443" s="1">
        <v>0</v>
      </c>
      <c r="S1443" s="1">
        <f t="shared" ref="S1443:S1453" si="785">R1443*3751</f>
        <v>0</v>
      </c>
      <c r="T1443" s="1">
        <v>150000</v>
      </c>
      <c r="U1443" s="1">
        <v>50000</v>
      </c>
      <c r="V1443" s="1">
        <v>0</v>
      </c>
      <c r="W1443" s="1">
        <v>0</v>
      </c>
      <c r="X1443" s="1">
        <v>0</v>
      </c>
      <c r="Y1443" s="1">
        <v>0</v>
      </c>
      <c r="Z1443" s="1">
        <v>0</v>
      </c>
      <c r="AA1443" s="1">
        <v>0</v>
      </c>
      <c r="AB1443" s="1">
        <v>0</v>
      </c>
      <c r="AC1443" s="1">
        <v>0</v>
      </c>
      <c r="AD1443" s="1">
        <v>0</v>
      </c>
    </row>
    <row r="1444" spans="1:30" s="20" customFormat="1" ht="36" customHeight="1" x14ac:dyDescent="0.25">
      <c r="A1444" s="2">
        <f t="shared" si="783"/>
        <v>1390</v>
      </c>
      <c r="B1444" s="6">
        <f>A1444</f>
        <v>1390</v>
      </c>
      <c r="C1444" s="19" t="s">
        <v>1762</v>
      </c>
      <c r="D1444" s="4">
        <f t="shared" si="784"/>
        <v>3293750</v>
      </c>
      <c r="E1444" s="1">
        <f>SUM(F1444:K1444)</f>
        <v>0</v>
      </c>
      <c r="F1444" s="1">
        <v>0</v>
      </c>
      <c r="G1444" s="1">
        <v>0</v>
      </c>
      <c r="H1444" s="1">
        <v>0</v>
      </c>
      <c r="I1444" s="1">
        <v>0</v>
      </c>
      <c r="J1444" s="1">
        <v>0</v>
      </c>
      <c r="K1444" s="1">
        <v>0</v>
      </c>
      <c r="L1444" s="2">
        <v>0</v>
      </c>
      <c r="M1444" s="1">
        <v>0</v>
      </c>
      <c r="N1444" s="1">
        <v>425</v>
      </c>
      <c r="O1444" s="1">
        <f>N1444*7750</f>
        <v>3293750</v>
      </c>
      <c r="P1444" s="1">
        <v>0</v>
      </c>
      <c r="Q1444" s="1">
        <f>P1444*1400</f>
        <v>0</v>
      </c>
      <c r="R1444" s="1">
        <v>0</v>
      </c>
      <c r="S1444" s="1">
        <f>R1444*3751</f>
        <v>0</v>
      </c>
      <c r="T1444" s="1">
        <v>0</v>
      </c>
      <c r="U1444" s="1">
        <v>0</v>
      </c>
      <c r="V1444" s="1">
        <v>0</v>
      </c>
      <c r="W1444" s="1">
        <v>0</v>
      </c>
      <c r="X1444" s="1">
        <v>0</v>
      </c>
      <c r="Y1444" s="1">
        <v>0</v>
      </c>
      <c r="Z1444" s="1">
        <v>0</v>
      </c>
      <c r="AA1444" s="1">
        <v>0</v>
      </c>
      <c r="AB1444" s="1">
        <v>0</v>
      </c>
      <c r="AC1444" s="1">
        <v>0</v>
      </c>
      <c r="AD1444" s="1">
        <v>0</v>
      </c>
    </row>
    <row r="1445" spans="1:30" s="20" customFormat="1" ht="36" customHeight="1" x14ac:dyDescent="0.25">
      <c r="A1445" s="2">
        <f t="shared" si="783"/>
        <v>1391</v>
      </c>
      <c r="B1445" s="6">
        <f t="shared" ref="B1445:B1457" si="786">A1445</f>
        <v>1391</v>
      </c>
      <c r="C1445" s="19" t="s">
        <v>769</v>
      </c>
      <c r="D1445" s="4">
        <f t="shared" si="784"/>
        <v>6121479.8799999999</v>
      </c>
      <c r="E1445" s="1">
        <f t="shared" ref="E1445:E1468" si="787">SUM(F1445:K1445)</f>
        <v>953546.88000000012</v>
      </c>
      <c r="F1445" s="1">
        <f>804*574.08</f>
        <v>461560.32000000001</v>
      </c>
      <c r="G1445" s="1">
        <v>0</v>
      </c>
      <c r="H1445" s="1">
        <f>390*574.08</f>
        <v>223891.20000000001</v>
      </c>
      <c r="I1445" s="1">
        <v>0</v>
      </c>
      <c r="J1445" s="1">
        <f>467*574.08</f>
        <v>268095.36000000004</v>
      </c>
      <c r="K1445" s="1">
        <v>0</v>
      </c>
      <c r="L1445" s="2">
        <v>0</v>
      </c>
      <c r="M1445" s="1">
        <v>0</v>
      </c>
      <c r="N1445" s="1">
        <v>425</v>
      </c>
      <c r="O1445" s="1">
        <f>N1445*7750</f>
        <v>3293750</v>
      </c>
      <c r="P1445" s="1">
        <v>0</v>
      </c>
      <c r="Q1445" s="1">
        <f>P1445*1400</f>
        <v>0</v>
      </c>
      <c r="R1445" s="1">
        <v>433</v>
      </c>
      <c r="S1445" s="1">
        <f t="shared" si="785"/>
        <v>1624183</v>
      </c>
      <c r="T1445" s="1">
        <v>150000</v>
      </c>
      <c r="U1445" s="1">
        <v>50000</v>
      </c>
      <c r="V1445" s="1">
        <v>0</v>
      </c>
      <c r="W1445" s="1">
        <v>50000</v>
      </c>
      <c r="X1445" s="1">
        <v>0</v>
      </c>
      <c r="Y1445" s="1">
        <v>0</v>
      </c>
      <c r="Z1445" s="1">
        <v>0</v>
      </c>
      <c r="AA1445" s="1">
        <v>0</v>
      </c>
      <c r="AB1445" s="1">
        <v>0</v>
      </c>
      <c r="AC1445" s="1">
        <v>0</v>
      </c>
      <c r="AD1445" s="1">
        <v>0</v>
      </c>
    </row>
    <row r="1446" spans="1:30" s="20" customFormat="1" ht="36" customHeight="1" x14ac:dyDescent="0.25">
      <c r="A1446" s="2">
        <f t="shared" si="783"/>
        <v>1392</v>
      </c>
      <c r="B1446" s="6">
        <f>A1446</f>
        <v>1392</v>
      </c>
      <c r="C1446" s="19" t="s">
        <v>161</v>
      </c>
      <c r="D1446" s="4">
        <f t="shared" si="784"/>
        <v>200000</v>
      </c>
      <c r="E1446" s="1">
        <f t="shared" si="787"/>
        <v>0</v>
      </c>
      <c r="F1446" s="1">
        <v>0</v>
      </c>
      <c r="G1446" s="1">
        <v>0</v>
      </c>
      <c r="H1446" s="1">
        <v>0</v>
      </c>
      <c r="I1446" s="1">
        <v>0</v>
      </c>
      <c r="J1446" s="1">
        <v>0</v>
      </c>
      <c r="K1446" s="1">
        <v>0</v>
      </c>
      <c r="L1446" s="2">
        <v>0</v>
      </c>
      <c r="M1446" s="1">
        <v>0</v>
      </c>
      <c r="N1446" s="1">
        <v>0</v>
      </c>
      <c r="O1446" s="1">
        <v>0</v>
      </c>
      <c r="P1446" s="1">
        <v>0</v>
      </c>
      <c r="Q1446" s="1">
        <f>P1446*1400</f>
        <v>0</v>
      </c>
      <c r="R1446" s="1">
        <v>0</v>
      </c>
      <c r="S1446" s="1">
        <f t="shared" si="785"/>
        <v>0</v>
      </c>
      <c r="T1446" s="1">
        <v>150000</v>
      </c>
      <c r="U1446" s="1">
        <v>50000</v>
      </c>
      <c r="V1446" s="1">
        <v>0</v>
      </c>
      <c r="W1446" s="1">
        <v>0</v>
      </c>
      <c r="X1446" s="1">
        <v>0</v>
      </c>
      <c r="Y1446" s="1">
        <v>0</v>
      </c>
      <c r="Z1446" s="1">
        <v>0</v>
      </c>
      <c r="AA1446" s="1">
        <v>0</v>
      </c>
      <c r="AB1446" s="1">
        <v>0</v>
      </c>
      <c r="AC1446" s="1">
        <v>0</v>
      </c>
      <c r="AD1446" s="1">
        <v>0</v>
      </c>
    </row>
    <row r="1447" spans="1:30" s="20" customFormat="1" ht="36" customHeight="1" x14ac:dyDescent="0.25">
      <c r="A1447" s="2">
        <f t="shared" si="783"/>
        <v>1393</v>
      </c>
      <c r="B1447" s="6">
        <f>A1447</f>
        <v>1393</v>
      </c>
      <c r="C1447" s="19" t="s">
        <v>770</v>
      </c>
      <c r="D1447" s="4">
        <f t="shared" si="784"/>
        <v>1520498.9</v>
      </c>
      <c r="E1447" s="1">
        <f t="shared" si="787"/>
        <v>1270498.8999999999</v>
      </c>
      <c r="F1447" s="1">
        <f>804*764.9</f>
        <v>614979.6</v>
      </c>
      <c r="G1447" s="1">
        <v>0</v>
      </c>
      <c r="H1447" s="1">
        <f>390*764.9</f>
        <v>298311</v>
      </c>
      <c r="I1447" s="1">
        <v>0</v>
      </c>
      <c r="J1447" s="1">
        <f>467*764.9</f>
        <v>357208.3</v>
      </c>
      <c r="K1447" s="1">
        <v>0</v>
      </c>
      <c r="L1447" s="2">
        <v>0</v>
      </c>
      <c r="M1447" s="1">
        <v>0</v>
      </c>
      <c r="N1447" s="1">
        <v>0</v>
      </c>
      <c r="O1447" s="1">
        <v>0</v>
      </c>
      <c r="P1447" s="1">
        <v>0</v>
      </c>
      <c r="Q1447" s="1">
        <f t="shared" ref="Q1447:Q1468" si="788">P1447*1400</f>
        <v>0</v>
      </c>
      <c r="R1447" s="1">
        <v>0</v>
      </c>
      <c r="S1447" s="1">
        <f t="shared" si="785"/>
        <v>0</v>
      </c>
      <c r="T1447" s="1">
        <v>150000</v>
      </c>
      <c r="U1447" s="1">
        <v>50000</v>
      </c>
      <c r="V1447" s="1">
        <v>0</v>
      </c>
      <c r="W1447" s="1">
        <v>50000</v>
      </c>
      <c r="X1447" s="1">
        <v>0</v>
      </c>
      <c r="Y1447" s="1">
        <v>0</v>
      </c>
      <c r="Z1447" s="1">
        <v>0</v>
      </c>
      <c r="AA1447" s="1">
        <v>0</v>
      </c>
      <c r="AB1447" s="1">
        <v>0</v>
      </c>
      <c r="AC1447" s="1">
        <v>0</v>
      </c>
      <c r="AD1447" s="1">
        <v>0</v>
      </c>
    </row>
    <row r="1448" spans="1:30" s="20" customFormat="1" ht="36" customHeight="1" x14ac:dyDescent="0.25">
      <c r="A1448" s="2">
        <f t="shared" si="783"/>
        <v>1394</v>
      </c>
      <c r="B1448" s="6">
        <f t="shared" si="786"/>
        <v>1394</v>
      </c>
      <c r="C1448" s="19" t="s">
        <v>168</v>
      </c>
      <c r="D1448" s="4">
        <f t="shared" si="784"/>
        <v>1745396.8</v>
      </c>
      <c r="E1448" s="1">
        <f t="shared" si="787"/>
        <v>345076.8</v>
      </c>
      <c r="F1448" s="1">
        <f>804*429.2</f>
        <v>345076.8</v>
      </c>
      <c r="G1448" s="1">
        <v>0</v>
      </c>
      <c r="H1448" s="1">
        <v>0</v>
      </c>
      <c r="I1448" s="1">
        <v>0</v>
      </c>
      <c r="J1448" s="1">
        <v>0</v>
      </c>
      <c r="K1448" s="1">
        <v>0</v>
      </c>
      <c r="L1448" s="2">
        <v>0</v>
      </c>
      <c r="M1448" s="1">
        <v>0</v>
      </c>
      <c r="N1448" s="1">
        <v>0</v>
      </c>
      <c r="O1448" s="1">
        <v>0</v>
      </c>
      <c r="P1448" s="1">
        <v>0</v>
      </c>
      <c r="Q1448" s="1">
        <f t="shared" si="788"/>
        <v>0</v>
      </c>
      <c r="R1448" s="1">
        <v>320</v>
      </c>
      <c r="S1448" s="1">
        <f t="shared" si="785"/>
        <v>1200320</v>
      </c>
      <c r="T1448" s="1">
        <v>150000</v>
      </c>
      <c r="U1448" s="1">
        <v>50000</v>
      </c>
      <c r="V1448" s="1">
        <v>0</v>
      </c>
      <c r="W1448" s="1">
        <v>0</v>
      </c>
      <c r="X1448" s="1">
        <v>0</v>
      </c>
      <c r="Y1448" s="1">
        <v>0</v>
      </c>
      <c r="Z1448" s="1">
        <v>0</v>
      </c>
      <c r="AA1448" s="1">
        <v>0</v>
      </c>
      <c r="AB1448" s="1">
        <v>0</v>
      </c>
      <c r="AC1448" s="1">
        <v>0</v>
      </c>
      <c r="AD1448" s="1">
        <v>0</v>
      </c>
    </row>
    <row r="1449" spans="1:30" s="20" customFormat="1" ht="36" customHeight="1" x14ac:dyDescent="0.25">
      <c r="A1449" s="2">
        <f t="shared" si="783"/>
        <v>1395</v>
      </c>
      <c r="B1449" s="6">
        <f t="shared" si="786"/>
        <v>1395</v>
      </c>
      <c r="C1449" s="19" t="s">
        <v>169</v>
      </c>
      <c r="D1449" s="4">
        <f t="shared" si="784"/>
        <v>2039506.8</v>
      </c>
      <c r="E1449" s="1">
        <f t="shared" si="787"/>
        <v>564166.80000000005</v>
      </c>
      <c r="F1449" s="1">
        <f>804*701.7</f>
        <v>564166.80000000005</v>
      </c>
      <c r="G1449" s="1">
        <v>0</v>
      </c>
      <c r="H1449" s="1">
        <v>0</v>
      </c>
      <c r="I1449" s="1">
        <v>0</v>
      </c>
      <c r="J1449" s="1">
        <v>0</v>
      </c>
      <c r="K1449" s="1">
        <v>0</v>
      </c>
      <c r="L1449" s="2">
        <v>0</v>
      </c>
      <c r="M1449" s="1">
        <v>0</v>
      </c>
      <c r="N1449" s="1">
        <v>0</v>
      </c>
      <c r="O1449" s="1">
        <v>0</v>
      </c>
      <c r="P1449" s="1">
        <v>0</v>
      </c>
      <c r="Q1449" s="1">
        <f t="shared" si="788"/>
        <v>0</v>
      </c>
      <c r="R1449" s="1">
        <v>340</v>
      </c>
      <c r="S1449" s="1">
        <f t="shared" si="785"/>
        <v>1275340</v>
      </c>
      <c r="T1449" s="1">
        <v>150000</v>
      </c>
      <c r="U1449" s="1">
        <v>50000</v>
      </c>
      <c r="V1449" s="1">
        <v>0</v>
      </c>
      <c r="W1449" s="1">
        <v>0</v>
      </c>
      <c r="X1449" s="1">
        <v>0</v>
      </c>
      <c r="Y1449" s="1">
        <v>0</v>
      </c>
      <c r="Z1449" s="1">
        <v>0</v>
      </c>
      <c r="AA1449" s="1">
        <v>0</v>
      </c>
      <c r="AB1449" s="1">
        <v>0</v>
      </c>
      <c r="AC1449" s="1">
        <v>0</v>
      </c>
      <c r="AD1449" s="1">
        <v>0</v>
      </c>
    </row>
    <row r="1450" spans="1:30" s="20" customFormat="1" ht="36" customHeight="1" x14ac:dyDescent="0.25">
      <c r="A1450" s="2">
        <f t="shared" si="783"/>
        <v>1396</v>
      </c>
      <c r="B1450" s="6">
        <f>A1450</f>
        <v>1396</v>
      </c>
      <c r="C1450" s="19" t="s">
        <v>1653</v>
      </c>
      <c r="D1450" s="4">
        <f t="shared" si="784"/>
        <v>2438720</v>
      </c>
      <c r="E1450" s="1">
        <f t="shared" si="787"/>
        <v>963380</v>
      </c>
      <c r="F1450" s="1">
        <f>804*580</f>
        <v>466320</v>
      </c>
      <c r="G1450" s="1">
        <v>0</v>
      </c>
      <c r="H1450" s="1">
        <f>390*580</f>
        <v>226200</v>
      </c>
      <c r="I1450" s="1">
        <v>0</v>
      </c>
      <c r="J1450" s="1">
        <f>467*580</f>
        <v>270860</v>
      </c>
      <c r="K1450" s="1">
        <v>0</v>
      </c>
      <c r="L1450" s="2">
        <v>0</v>
      </c>
      <c r="M1450" s="1">
        <v>0</v>
      </c>
      <c r="N1450" s="1">
        <v>0</v>
      </c>
      <c r="O1450" s="1">
        <v>0</v>
      </c>
      <c r="P1450" s="1">
        <v>0</v>
      </c>
      <c r="Q1450" s="1">
        <f t="shared" si="788"/>
        <v>0</v>
      </c>
      <c r="R1450" s="1">
        <v>340</v>
      </c>
      <c r="S1450" s="1">
        <f t="shared" si="785"/>
        <v>1275340</v>
      </c>
      <c r="T1450" s="1">
        <v>150000</v>
      </c>
      <c r="U1450" s="1">
        <v>50000</v>
      </c>
      <c r="V1450" s="1">
        <v>0</v>
      </c>
      <c r="W1450" s="1">
        <v>0</v>
      </c>
      <c r="X1450" s="1">
        <v>0</v>
      </c>
      <c r="Y1450" s="1">
        <v>0</v>
      </c>
      <c r="Z1450" s="1">
        <v>0</v>
      </c>
      <c r="AA1450" s="1">
        <v>0</v>
      </c>
      <c r="AB1450" s="1">
        <v>0</v>
      </c>
      <c r="AC1450" s="1">
        <v>0</v>
      </c>
      <c r="AD1450" s="1">
        <v>0</v>
      </c>
    </row>
    <row r="1451" spans="1:30" s="20" customFormat="1" ht="36" customHeight="1" x14ac:dyDescent="0.25">
      <c r="A1451" s="2">
        <f t="shared" si="783"/>
        <v>1397</v>
      </c>
      <c r="B1451" s="6">
        <f>A1451</f>
        <v>1397</v>
      </c>
      <c r="C1451" s="19" t="s">
        <v>1656</v>
      </c>
      <c r="D1451" s="4">
        <f t="shared" si="784"/>
        <v>2438720</v>
      </c>
      <c r="E1451" s="1">
        <f>SUM(F1451:K1451)</f>
        <v>963380</v>
      </c>
      <c r="F1451" s="1">
        <f>804*580</f>
        <v>466320</v>
      </c>
      <c r="G1451" s="1">
        <v>0</v>
      </c>
      <c r="H1451" s="1">
        <f>390*580</f>
        <v>226200</v>
      </c>
      <c r="I1451" s="1">
        <v>0</v>
      </c>
      <c r="J1451" s="1">
        <f>467*580</f>
        <v>270860</v>
      </c>
      <c r="K1451" s="1">
        <v>0</v>
      </c>
      <c r="L1451" s="2">
        <v>0</v>
      </c>
      <c r="M1451" s="1">
        <v>0</v>
      </c>
      <c r="N1451" s="1">
        <v>0</v>
      </c>
      <c r="O1451" s="1">
        <v>0</v>
      </c>
      <c r="P1451" s="1">
        <v>0</v>
      </c>
      <c r="Q1451" s="1">
        <f>P1451*1400</f>
        <v>0</v>
      </c>
      <c r="R1451" s="1">
        <v>340</v>
      </c>
      <c r="S1451" s="1">
        <f>R1451*3751</f>
        <v>1275340</v>
      </c>
      <c r="T1451" s="1">
        <v>150000</v>
      </c>
      <c r="U1451" s="1">
        <v>50000</v>
      </c>
      <c r="V1451" s="1">
        <v>0</v>
      </c>
      <c r="W1451" s="1">
        <v>0</v>
      </c>
      <c r="X1451" s="1">
        <v>0</v>
      </c>
      <c r="Y1451" s="1">
        <v>0</v>
      </c>
      <c r="Z1451" s="1">
        <v>0</v>
      </c>
      <c r="AA1451" s="1">
        <v>0</v>
      </c>
      <c r="AB1451" s="1">
        <v>0</v>
      </c>
      <c r="AC1451" s="1">
        <v>0</v>
      </c>
      <c r="AD1451" s="1">
        <v>0</v>
      </c>
    </row>
    <row r="1452" spans="1:30" s="20" customFormat="1" ht="36" customHeight="1" x14ac:dyDescent="0.25">
      <c r="A1452" s="2">
        <f t="shared" si="783"/>
        <v>1398</v>
      </c>
      <c r="B1452" s="6">
        <f>A1452</f>
        <v>1398</v>
      </c>
      <c r="C1452" s="19" t="s">
        <v>1654</v>
      </c>
      <c r="D1452" s="4">
        <f t="shared" si="784"/>
        <v>569840</v>
      </c>
      <c r="E1452" s="1">
        <f t="shared" si="787"/>
        <v>369840</v>
      </c>
      <c r="F1452" s="1">
        <f>804*460</f>
        <v>369840</v>
      </c>
      <c r="G1452" s="1">
        <v>0</v>
      </c>
      <c r="H1452" s="1">
        <v>0</v>
      </c>
      <c r="I1452" s="1">
        <v>0</v>
      </c>
      <c r="J1452" s="1">
        <v>0</v>
      </c>
      <c r="K1452" s="1">
        <v>0</v>
      </c>
      <c r="L1452" s="2">
        <v>0</v>
      </c>
      <c r="M1452" s="1">
        <v>0</v>
      </c>
      <c r="N1452" s="1">
        <v>0</v>
      </c>
      <c r="O1452" s="1">
        <v>0</v>
      </c>
      <c r="P1452" s="1">
        <v>0</v>
      </c>
      <c r="Q1452" s="1">
        <f t="shared" si="788"/>
        <v>0</v>
      </c>
      <c r="R1452" s="1">
        <v>0</v>
      </c>
      <c r="S1452" s="1">
        <f t="shared" si="785"/>
        <v>0</v>
      </c>
      <c r="T1452" s="1">
        <v>150000</v>
      </c>
      <c r="U1452" s="1">
        <v>50000</v>
      </c>
      <c r="V1452" s="1">
        <v>0</v>
      </c>
      <c r="W1452" s="1">
        <v>0</v>
      </c>
      <c r="X1452" s="1">
        <v>0</v>
      </c>
      <c r="Y1452" s="1">
        <v>0</v>
      </c>
      <c r="Z1452" s="1">
        <v>0</v>
      </c>
      <c r="AA1452" s="1">
        <v>0</v>
      </c>
      <c r="AB1452" s="1">
        <v>0</v>
      </c>
      <c r="AC1452" s="1">
        <v>0</v>
      </c>
      <c r="AD1452" s="1">
        <v>0</v>
      </c>
    </row>
    <row r="1453" spans="1:30" s="20" customFormat="1" ht="36" customHeight="1" x14ac:dyDescent="0.25">
      <c r="A1453" s="2">
        <f t="shared" si="783"/>
        <v>1399</v>
      </c>
      <c r="B1453" s="6">
        <f>A1453</f>
        <v>1399</v>
      </c>
      <c r="C1453" s="19" t="s">
        <v>1655</v>
      </c>
      <c r="D1453" s="4">
        <f t="shared" si="784"/>
        <v>1834728</v>
      </c>
      <c r="E1453" s="1">
        <f t="shared" si="787"/>
        <v>359388</v>
      </c>
      <c r="F1453" s="1">
        <f>804*447</f>
        <v>359388</v>
      </c>
      <c r="G1453" s="1">
        <v>0</v>
      </c>
      <c r="H1453" s="1">
        <v>0</v>
      </c>
      <c r="I1453" s="1">
        <v>0</v>
      </c>
      <c r="J1453" s="1">
        <v>0</v>
      </c>
      <c r="K1453" s="1">
        <v>0</v>
      </c>
      <c r="L1453" s="2">
        <v>0</v>
      </c>
      <c r="M1453" s="1">
        <v>0</v>
      </c>
      <c r="N1453" s="1">
        <v>0</v>
      </c>
      <c r="O1453" s="1">
        <v>0</v>
      </c>
      <c r="P1453" s="1">
        <v>0</v>
      </c>
      <c r="Q1453" s="1">
        <f t="shared" si="788"/>
        <v>0</v>
      </c>
      <c r="R1453" s="1">
        <v>340</v>
      </c>
      <c r="S1453" s="1">
        <f t="shared" si="785"/>
        <v>1275340</v>
      </c>
      <c r="T1453" s="1">
        <v>150000</v>
      </c>
      <c r="U1453" s="1">
        <v>50000</v>
      </c>
      <c r="V1453" s="1">
        <v>0</v>
      </c>
      <c r="W1453" s="1">
        <v>0</v>
      </c>
      <c r="X1453" s="1">
        <v>0</v>
      </c>
      <c r="Y1453" s="1">
        <v>0</v>
      </c>
      <c r="Z1453" s="1">
        <v>0</v>
      </c>
      <c r="AA1453" s="1">
        <v>0</v>
      </c>
      <c r="AB1453" s="1">
        <v>0</v>
      </c>
      <c r="AC1453" s="1">
        <v>0</v>
      </c>
      <c r="AD1453" s="1">
        <v>0</v>
      </c>
    </row>
    <row r="1454" spans="1:30" s="20" customFormat="1" ht="36" customHeight="1" x14ac:dyDescent="0.25">
      <c r="A1454" s="2">
        <f t="shared" si="783"/>
        <v>1400</v>
      </c>
      <c r="B1454" s="6">
        <f>A1454</f>
        <v>1400</v>
      </c>
      <c r="C1454" s="19" t="s">
        <v>1667</v>
      </c>
      <c r="D1454" s="4">
        <f t="shared" si="784"/>
        <v>200000</v>
      </c>
      <c r="E1454" s="1">
        <f t="shared" si="787"/>
        <v>0</v>
      </c>
      <c r="F1454" s="1">
        <v>0</v>
      </c>
      <c r="G1454" s="1">
        <v>0</v>
      </c>
      <c r="H1454" s="1">
        <v>0</v>
      </c>
      <c r="I1454" s="1">
        <v>0</v>
      </c>
      <c r="J1454" s="1">
        <v>0</v>
      </c>
      <c r="K1454" s="1">
        <v>0</v>
      </c>
      <c r="L1454" s="2">
        <v>0</v>
      </c>
      <c r="M1454" s="1">
        <v>0</v>
      </c>
      <c r="N1454" s="1">
        <v>0</v>
      </c>
      <c r="O1454" s="1">
        <v>0</v>
      </c>
      <c r="P1454" s="1">
        <v>0</v>
      </c>
      <c r="Q1454" s="1">
        <f t="shared" si="788"/>
        <v>0</v>
      </c>
      <c r="R1454" s="1">
        <v>0</v>
      </c>
      <c r="S1454" s="1">
        <f t="shared" ref="S1454:S1468" si="789">R1454*3751</f>
        <v>0</v>
      </c>
      <c r="T1454" s="1">
        <v>150000</v>
      </c>
      <c r="U1454" s="1">
        <v>50000</v>
      </c>
      <c r="V1454" s="1">
        <v>0</v>
      </c>
      <c r="W1454" s="1">
        <v>0</v>
      </c>
      <c r="X1454" s="1">
        <v>0</v>
      </c>
      <c r="Y1454" s="1">
        <v>0</v>
      </c>
      <c r="Z1454" s="1">
        <v>0</v>
      </c>
      <c r="AA1454" s="1">
        <v>0</v>
      </c>
      <c r="AB1454" s="1">
        <v>0</v>
      </c>
      <c r="AC1454" s="1">
        <v>0</v>
      </c>
      <c r="AD1454" s="1">
        <v>0</v>
      </c>
    </row>
    <row r="1455" spans="1:30" s="20" customFormat="1" ht="36" customHeight="1" x14ac:dyDescent="0.25">
      <c r="A1455" s="2">
        <f t="shared" si="783"/>
        <v>1401</v>
      </c>
      <c r="B1455" s="6">
        <f t="shared" si="786"/>
        <v>1401</v>
      </c>
      <c r="C1455" s="19" t="s">
        <v>771</v>
      </c>
      <c r="D1455" s="4">
        <f t="shared" si="784"/>
        <v>7529657.5999999996</v>
      </c>
      <c r="E1455" s="1">
        <f t="shared" si="787"/>
        <v>309057.59999999998</v>
      </c>
      <c r="F1455" s="1">
        <f>804*384.4</f>
        <v>309057.59999999998</v>
      </c>
      <c r="G1455" s="1">
        <v>0</v>
      </c>
      <c r="H1455" s="1">
        <v>0</v>
      </c>
      <c r="I1455" s="1">
        <v>0</v>
      </c>
      <c r="J1455" s="1">
        <v>0</v>
      </c>
      <c r="K1455" s="1">
        <v>0</v>
      </c>
      <c r="L1455" s="2">
        <v>0</v>
      </c>
      <c r="M1455" s="1">
        <v>0</v>
      </c>
      <c r="N1455" s="1">
        <v>600</v>
      </c>
      <c r="O1455" s="1">
        <f>N1455*7750</f>
        <v>4650000</v>
      </c>
      <c r="P1455" s="1">
        <v>50</v>
      </c>
      <c r="Q1455" s="1">
        <f t="shared" si="788"/>
        <v>70000</v>
      </c>
      <c r="R1455" s="1">
        <v>600</v>
      </c>
      <c r="S1455" s="1">
        <f t="shared" si="789"/>
        <v>2250600</v>
      </c>
      <c r="T1455" s="1">
        <v>150000</v>
      </c>
      <c r="U1455" s="1">
        <v>50000</v>
      </c>
      <c r="V1455" s="1">
        <v>0</v>
      </c>
      <c r="W1455" s="1">
        <v>50000</v>
      </c>
      <c r="X1455" s="1">
        <v>0</v>
      </c>
      <c r="Y1455" s="1">
        <v>0</v>
      </c>
      <c r="Z1455" s="1">
        <v>0</v>
      </c>
      <c r="AA1455" s="1">
        <v>0</v>
      </c>
      <c r="AB1455" s="1">
        <v>0</v>
      </c>
      <c r="AC1455" s="1">
        <v>0</v>
      </c>
      <c r="AD1455" s="1">
        <v>0</v>
      </c>
    </row>
    <row r="1456" spans="1:30" s="20" customFormat="1" ht="36" customHeight="1" x14ac:dyDescent="0.25">
      <c r="A1456" s="2">
        <f t="shared" si="783"/>
        <v>1402</v>
      </c>
      <c r="B1456" s="6">
        <f t="shared" si="786"/>
        <v>1402</v>
      </c>
      <c r="C1456" s="19" t="s">
        <v>772</v>
      </c>
      <c r="D1456" s="4">
        <f t="shared" si="784"/>
        <v>1724594.4</v>
      </c>
      <c r="E1456" s="1">
        <f t="shared" si="787"/>
        <v>386804.4</v>
      </c>
      <c r="F1456" s="1">
        <f>804*481.1</f>
        <v>386804.4</v>
      </c>
      <c r="G1456" s="1">
        <v>0</v>
      </c>
      <c r="H1456" s="1">
        <v>0</v>
      </c>
      <c r="I1456" s="1">
        <v>0</v>
      </c>
      <c r="J1456" s="1">
        <v>0</v>
      </c>
      <c r="K1456" s="1">
        <v>0</v>
      </c>
      <c r="L1456" s="2">
        <v>0</v>
      </c>
      <c r="M1456" s="1">
        <v>0</v>
      </c>
      <c r="N1456" s="1">
        <v>0</v>
      </c>
      <c r="O1456" s="1">
        <v>0</v>
      </c>
      <c r="P1456" s="1">
        <v>0</v>
      </c>
      <c r="Q1456" s="1">
        <f t="shared" si="788"/>
        <v>0</v>
      </c>
      <c r="R1456" s="1">
        <v>290</v>
      </c>
      <c r="S1456" s="1">
        <f t="shared" si="789"/>
        <v>1087790</v>
      </c>
      <c r="T1456" s="1">
        <v>150000</v>
      </c>
      <c r="U1456" s="1">
        <v>50000</v>
      </c>
      <c r="V1456" s="1">
        <v>0</v>
      </c>
      <c r="W1456" s="1">
        <v>50000</v>
      </c>
      <c r="X1456" s="1">
        <v>0</v>
      </c>
      <c r="Y1456" s="1">
        <v>0</v>
      </c>
      <c r="Z1456" s="1">
        <v>0</v>
      </c>
      <c r="AA1456" s="1">
        <v>0</v>
      </c>
      <c r="AB1456" s="1">
        <v>0</v>
      </c>
      <c r="AC1456" s="1">
        <v>0</v>
      </c>
      <c r="AD1456" s="1">
        <v>0</v>
      </c>
    </row>
    <row r="1457" spans="1:30" s="20" customFormat="1" ht="36" customHeight="1" x14ac:dyDescent="0.25">
      <c r="A1457" s="2">
        <f t="shared" si="783"/>
        <v>1403</v>
      </c>
      <c r="B1457" s="6">
        <f t="shared" si="786"/>
        <v>1403</v>
      </c>
      <c r="C1457" s="19" t="s">
        <v>773</v>
      </c>
      <c r="D1457" s="4">
        <f t="shared" si="784"/>
        <v>3707279.6</v>
      </c>
      <c r="E1457" s="1">
        <f t="shared" si="787"/>
        <v>214989.59999999998</v>
      </c>
      <c r="F1457" s="1">
        <f>804*267.4</f>
        <v>214989.59999999998</v>
      </c>
      <c r="G1457" s="1">
        <v>0</v>
      </c>
      <c r="H1457" s="1">
        <v>0</v>
      </c>
      <c r="I1457" s="1">
        <v>0</v>
      </c>
      <c r="J1457" s="1">
        <v>0</v>
      </c>
      <c r="K1457" s="1">
        <v>0</v>
      </c>
      <c r="L1457" s="2">
        <v>0</v>
      </c>
      <c r="M1457" s="1">
        <v>0</v>
      </c>
      <c r="N1457" s="1">
        <v>278</v>
      </c>
      <c r="O1457" s="1">
        <f>N1457*7750</f>
        <v>2154500</v>
      </c>
      <c r="P1457" s="1">
        <v>0</v>
      </c>
      <c r="Q1457" s="1">
        <f t="shared" si="788"/>
        <v>0</v>
      </c>
      <c r="R1457" s="1">
        <v>290</v>
      </c>
      <c r="S1457" s="1">
        <f t="shared" si="789"/>
        <v>1087790</v>
      </c>
      <c r="T1457" s="1">
        <v>150000</v>
      </c>
      <c r="U1457" s="1">
        <v>50000</v>
      </c>
      <c r="V1457" s="1">
        <v>0</v>
      </c>
      <c r="W1457" s="1">
        <v>50000</v>
      </c>
      <c r="X1457" s="1">
        <v>0</v>
      </c>
      <c r="Y1457" s="1">
        <v>0</v>
      </c>
      <c r="Z1457" s="1">
        <v>0</v>
      </c>
      <c r="AA1457" s="1">
        <v>0</v>
      </c>
      <c r="AB1457" s="1">
        <v>0</v>
      </c>
      <c r="AC1457" s="1">
        <v>0</v>
      </c>
      <c r="AD1457" s="1">
        <v>0</v>
      </c>
    </row>
    <row r="1458" spans="1:30" s="20" customFormat="1" ht="36" customHeight="1" x14ac:dyDescent="0.25">
      <c r="A1458" s="2">
        <f t="shared" si="783"/>
        <v>1404</v>
      </c>
      <c r="B1458" s="6">
        <f t="shared" ref="B1458:B1468" si="790">A1458</f>
        <v>1404</v>
      </c>
      <c r="C1458" s="19" t="s">
        <v>774</v>
      </c>
      <c r="D1458" s="4">
        <f t="shared" si="784"/>
        <v>1711842.96</v>
      </c>
      <c r="E1458" s="1">
        <f t="shared" si="787"/>
        <v>374052.96</v>
      </c>
      <c r="F1458" s="1">
        <f>804*465.24</f>
        <v>374052.96</v>
      </c>
      <c r="G1458" s="1">
        <v>0</v>
      </c>
      <c r="H1458" s="1">
        <v>0</v>
      </c>
      <c r="I1458" s="1">
        <v>0</v>
      </c>
      <c r="J1458" s="1">
        <v>0</v>
      </c>
      <c r="K1458" s="1">
        <v>0</v>
      </c>
      <c r="L1458" s="2">
        <v>0</v>
      </c>
      <c r="M1458" s="1">
        <v>0</v>
      </c>
      <c r="N1458" s="1">
        <v>0</v>
      </c>
      <c r="O1458" s="1">
        <v>0</v>
      </c>
      <c r="P1458" s="1">
        <v>0</v>
      </c>
      <c r="Q1458" s="1">
        <f t="shared" si="788"/>
        <v>0</v>
      </c>
      <c r="R1458" s="1">
        <v>290</v>
      </c>
      <c r="S1458" s="1">
        <f t="shared" si="789"/>
        <v>1087790</v>
      </c>
      <c r="T1458" s="1">
        <v>150000</v>
      </c>
      <c r="U1458" s="1">
        <v>50000</v>
      </c>
      <c r="V1458" s="1">
        <v>0</v>
      </c>
      <c r="W1458" s="1">
        <v>50000</v>
      </c>
      <c r="X1458" s="1">
        <v>0</v>
      </c>
      <c r="Y1458" s="1">
        <v>0</v>
      </c>
      <c r="Z1458" s="1">
        <v>0</v>
      </c>
      <c r="AA1458" s="1">
        <v>0</v>
      </c>
      <c r="AB1458" s="1">
        <v>0</v>
      </c>
      <c r="AC1458" s="1">
        <v>0</v>
      </c>
      <c r="AD1458" s="1">
        <v>0</v>
      </c>
    </row>
    <row r="1459" spans="1:30" s="20" customFormat="1" ht="36" customHeight="1" x14ac:dyDescent="0.25">
      <c r="A1459" s="2">
        <f t="shared" si="783"/>
        <v>1405</v>
      </c>
      <c r="B1459" s="6">
        <f>A1459</f>
        <v>1405</v>
      </c>
      <c r="C1459" s="19" t="s">
        <v>777</v>
      </c>
      <c r="D1459" s="4">
        <f t="shared" si="784"/>
        <v>23301048.420000002</v>
      </c>
      <c r="E1459" s="1">
        <f>SUM(F1459:K1459)</f>
        <v>8566887.4199999999</v>
      </c>
      <c r="F1459" s="1">
        <f>804*2554.23</f>
        <v>2053600.92</v>
      </c>
      <c r="G1459" s="1">
        <f>1693*2554.23</f>
        <v>4324311.3899999997</v>
      </c>
      <c r="H1459" s="1">
        <f>390*2554.23</f>
        <v>996149.7</v>
      </c>
      <c r="I1459" s="1">
        <v>0</v>
      </c>
      <c r="J1459" s="1">
        <f>467*2554.23</f>
        <v>1192825.4099999999</v>
      </c>
      <c r="K1459" s="1">
        <v>0</v>
      </c>
      <c r="L1459" s="2">
        <v>0</v>
      </c>
      <c r="M1459" s="1">
        <v>0</v>
      </c>
      <c r="N1459" s="1">
        <v>1428</v>
      </c>
      <c r="O1459" s="1">
        <f>N1459*7750</f>
        <v>11067000</v>
      </c>
      <c r="P1459" s="1">
        <v>0</v>
      </c>
      <c r="Q1459" s="1">
        <f>P1459*1400</f>
        <v>0</v>
      </c>
      <c r="R1459" s="1">
        <v>911</v>
      </c>
      <c r="S1459" s="1">
        <f>R1459*3751</f>
        <v>3417161</v>
      </c>
      <c r="T1459" s="1">
        <v>150000</v>
      </c>
      <c r="U1459" s="1">
        <v>50000</v>
      </c>
      <c r="V1459" s="1">
        <v>0</v>
      </c>
      <c r="W1459" s="1">
        <v>50000</v>
      </c>
      <c r="X1459" s="1">
        <v>0</v>
      </c>
      <c r="Y1459" s="1">
        <v>0</v>
      </c>
      <c r="Z1459" s="1">
        <v>0</v>
      </c>
      <c r="AA1459" s="1">
        <v>0</v>
      </c>
      <c r="AB1459" s="1">
        <v>0</v>
      </c>
      <c r="AC1459" s="1">
        <v>0</v>
      </c>
      <c r="AD1459" s="1">
        <v>0</v>
      </c>
    </row>
    <row r="1460" spans="1:30" s="20" customFormat="1" ht="36" customHeight="1" x14ac:dyDescent="0.25">
      <c r="A1460" s="2">
        <f t="shared" si="783"/>
        <v>1406</v>
      </c>
      <c r="B1460" s="6">
        <f>A1460</f>
        <v>1406</v>
      </c>
      <c r="C1460" s="19" t="s">
        <v>778</v>
      </c>
      <c r="D1460" s="4">
        <f t="shared" si="784"/>
        <v>5529788.8000000007</v>
      </c>
      <c r="E1460" s="1">
        <f>SUM(F1460:K1460)</f>
        <v>2792875.8000000003</v>
      </c>
      <c r="F1460" s="1">
        <f>804*832.7</f>
        <v>669490.80000000005</v>
      </c>
      <c r="G1460" s="1">
        <f>1693*832.7</f>
        <v>1409761.1</v>
      </c>
      <c r="H1460" s="1">
        <f>390*832.7</f>
        <v>324753</v>
      </c>
      <c r="I1460" s="1">
        <v>0</v>
      </c>
      <c r="J1460" s="1">
        <f>467*832.7</f>
        <v>388870.9</v>
      </c>
      <c r="K1460" s="1">
        <v>0</v>
      </c>
      <c r="L1460" s="2">
        <v>0</v>
      </c>
      <c r="M1460" s="1">
        <v>0</v>
      </c>
      <c r="N1460" s="1">
        <v>745</v>
      </c>
      <c r="O1460" s="1">
        <v>0</v>
      </c>
      <c r="P1460" s="1">
        <v>0</v>
      </c>
      <c r="Q1460" s="1">
        <f>P1460*1400</f>
        <v>0</v>
      </c>
      <c r="R1460" s="1">
        <v>663</v>
      </c>
      <c r="S1460" s="1">
        <f>R1460*3751</f>
        <v>2486913</v>
      </c>
      <c r="T1460" s="1">
        <v>150000</v>
      </c>
      <c r="U1460" s="1">
        <v>50000</v>
      </c>
      <c r="V1460" s="1">
        <v>0</v>
      </c>
      <c r="W1460" s="1">
        <v>50000</v>
      </c>
      <c r="X1460" s="1">
        <v>0</v>
      </c>
      <c r="Y1460" s="1">
        <v>0</v>
      </c>
      <c r="Z1460" s="1">
        <v>0</v>
      </c>
      <c r="AA1460" s="1">
        <v>0</v>
      </c>
      <c r="AB1460" s="1">
        <v>0</v>
      </c>
      <c r="AC1460" s="1">
        <v>0</v>
      </c>
      <c r="AD1460" s="1">
        <v>0</v>
      </c>
    </row>
    <row r="1461" spans="1:30" s="20" customFormat="1" ht="36" customHeight="1" x14ac:dyDescent="0.25">
      <c r="A1461" s="2">
        <f t="shared" si="783"/>
        <v>1407</v>
      </c>
      <c r="B1461" s="6">
        <f t="shared" si="790"/>
        <v>1407</v>
      </c>
      <c r="C1461" s="19" t="s">
        <v>775</v>
      </c>
      <c r="D1461" s="4">
        <f t="shared" si="784"/>
        <v>20228295.399999999</v>
      </c>
      <c r="E1461" s="1">
        <f t="shared" si="787"/>
        <v>10431275.399999999</v>
      </c>
      <c r="F1461" s="1">
        <f>804*3110.1</f>
        <v>2500520.4</v>
      </c>
      <c r="G1461" s="1">
        <f>1693*3110.1</f>
        <v>5265399.3</v>
      </c>
      <c r="H1461" s="1">
        <f>390*3110.1</f>
        <v>1212939</v>
      </c>
      <c r="I1461" s="1">
        <v>0</v>
      </c>
      <c r="J1461" s="1">
        <f>467*3110.1</f>
        <v>1452416.7</v>
      </c>
      <c r="K1461" s="1">
        <v>0</v>
      </c>
      <c r="L1461" s="2">
        <v>0</v>
      </c>
      <c r="M1461" s="1">
        <v>0</v>
      </c>
      <c r="N1461" s="1">
        <v>916</v>
      </c>
      <c r="O1461" s="1">
        <f>N1461*4968</f>
        <v>4550688</v>
      </c>
      <c r="P1461" s="1">
        <v>0</v>
      </c>
      <c r="Q1461" s="1">
        <f t="shared" si="788"/>
        <v>0</v>
      </c>
      <c r="R1461" s="1">
        <v>1332</v>
      </c>
      <c r="S1461" s="1">
        <f t="shared" si="789"/>
        <v>4996332</v>
      </c>
      <c r="T1461" s="1">
        <v>150000</v>
      </c>
      <c r="U1461" s="1">
        <v>50000</v>
      </c>
      <c r="V1461" s="1">
        <v>0</v>
      </c>
      <c r="W1461" s="1">
        <v>50000</v>
      </c>
      <c r="X1461" s="1">
        <v>0</v>
      </c>
      <c r="Y1461" s="1">
        <v>0</v>
      </c>
      <c r="Z1461" s="1">
        <v>0</v>
      </c>
      <c r="AA1461" s="1">
        <v>0</v>
      </c>
      <c r="AB1461" s="1">
        <v>0</v>
      </c>
      <c r="AC1461" s="1">
        <v>0</v>
      </c>
      <c r="AD1461" s="1">
        <v>0</v>
      </c>
    </row>
    <row r="1462" spans="1:30" s="20" customFormat="1" ht="36" customHeight="1" x14ac:dyDescent="0.25">
      <c r="A1462" s="2">
        <f t="shared" si="783"/>
        <v>1408</v>
      </c>
      <c r="B1462" s="6">
        <f t="shared" si="790"/>
        <v>1408</v>
      </c>
      <c r="C1462" s="19" t="s">
        <v>776</v>
      </c>
      <c r="D1462" s="4">
        <f t="shared" si="784"/>
        <v>12430582</v>
      </c>
      <c r="E1462" s="1">
        <f t="shared" si="787"/>
        <v>0</v>
      </c>
      <c r="F1462" s="1">
        <v>0</v>
      </c>
      <c r="G1462" s="1">
        <v>0</v>
      </c>
      <c r="H1462" s="1">
        <v>0</v>
      </c>
      <c r="I1462" s="1">
        <v>0</v>
      </c>
      <c r="J1462" s="1">
        <v>0</v>
      </c>
      <c r="K1462" s="1">
        <v>0</v>
      </c>
      <c r="L1462" s="2">
        <v>0</v>
      </c>
      <c r="M1462" s="1">
        <v>0</v>
      </c>
      <c r="N1462" s="1">
        <v>927</v>
      </c>
      <c r="O1462" s="1">
        <f>N1462*7750</f>
        <v>7184250</v>
      </c>
      <c r="P1462" s="1">
        <v>0</v>
      </c>
      <c r="Q1462" s="1">
        <f t="shared" si="788"/>
        <v>0</v>
      </c>
      <c r="R1462" s="1">
        <v>1332</v>
      </c>
      <c r="S1462" s="1">
        <f t="shared" si="789"/>
        <v>4996332</v>
      </c>
      <c r="T1462" s="1">
        <v>150000</v>
      </c>
      <c r="U1462" s="1">
        <v>50000</v>
      </c>
      <c r="V1462" s="1">
        <v>0</v>
      </c>
      <c r="W1462" s="1">
        <v>50000</v>
      </c>
      <c r="X1462" s="1">
        <v>0</v>
      </c>
      <c r="Y1462" s="1">
        <v>0</v>
      </c>
      <c r="Z1462" s="1">
        <v>0</v>
      </c>
      <c r="AA1462" s="1">
        <v>0</v>
      </c>
      <c r="AB1462" s="1">
        <v>0</v>
      </c>
      <c r="AC1462" s="1">
        <v>0</v>
      </c>
      <c r="AD1462" s="1">
        <v>0</v>
      </c>
    </row>
    <row r="1463" spans="1:30" s="20" customFormat="1" ht="36" customHeight="1" x14ac:dyDescent="0.25">
      <c r="A1463" s="2">
        <f t="shared" si="783"/>
        <v>1409</v>
      </c>
      <c r="B1463" s="6">
        <f t="shared" si="790"/>
        <v>1409</v>
      </c>
      <c r="C1463" s="19" t="s">
        <v>779</v>
      </c>
      <c r="D1463" s="4">
        <f t="shared" si="784"/>
        <v>8878879.2400000002</v>
      </c>
      <c r="E1463" s="1">
        <f t="shared" si="787"/>
        <v>618324.24</v>
      </c>
      <c r="F1463" s="1">
        <f>804*769.06</f>
        <v>618324.24</v>
      </c>
      <c r="G1463" s="1">
        <v>0</v>
      </c>
      <c r="H1463" s="1">
        <v>0</v>
      </c>
      <c r="I1463" s="1">
        <v>0</v>
      </c>
      <c r="J1463" s="1">
        <v>0</v>
      </c>
      <c r="K1463" s="1">
        <v>0</v>
      </c>
      <c r="L1463" s="2">
        <v>0</v>
      </c>
      <c r="M1463" s="1">
        <v>0</v>
      </c>
      <c r="N1463" s="1">
        <v>765</v>
      </c>
      <c r="O1463" s="1">
        <f>N1463*7750</f>
        <v>5928750</v>
      </c>
      <c r="P1463" s="1">
        <v>0</v>
      </c>
      <c r="Q1463" s="1">
        <f t="shared" si="788"/>
        <v>0</v>
      </c>
      <c r="R1463" s="1">
        <v>555</v>
      </c>
      <c r="S1463" s="1">
        <f t="shared" si="789"/>
        <v>2081805</v>
      </c>
      <c r="T1463" s="1">
        <v>150000</v>
      </c>
      <c r="U1463" s="1">
        <v>50000</v>
      </c>
      <c r="V1463" s="1">
        <v>0</v>
      </c>
      <c r="W1463" s="1">
        <v>50000</v>
      </c>
      <c r="X1463" s="1">
        <v>0</v>
      </c>
      <c r="Y1463" s="1">
        <v>0</v>
      </c>
      <c r="Z1463" s="1">
        <v>0</v>
      </c>
      <c r="AA1463" s="1">
        <v>0</v>
      </c>
      <c r="AB1463" s="1">
        <v>0</v>
      </c>
      <c r="AC1463" s="1">
        <v>0</v>
      </c>
      <c r="AD1463" s="1">
        <v>0</v>
      </c>
    </row>
    <row r="1464" spans="1:30" s="20" customFormat="1" ht="36" customHeight="1" x14ac:dyDescent="0.25">
      <c r="A1464" s="2">
        <f t="shared" si="783"/>
        <v>1410</v>
      </c>
      <c r="B1464" s="6">
        <f t="shared" si="790"/>
        <v>1410</v>
      </c>
      <c r="C1464" s="19" t="s">
        <v>781</v>
      </c>
      <c r="D1464" s="4">
        <f t="shared" si="784"/>
        <v>2325194</v>
      </c>
      <c r="E1464" s="1">
        <f t="shared" si="787"/>
        <v>1069926</v>
      </c>
      <c r="F1464" s="1">
        <f>804*319</f>
        <v>256476</v>
      </c>
      <c r="G1464" s="1">
        <f>1693*319</f>
        <v>540067</v>
      </c>
      <c r="H1464" s="1">
        <f>390*319</f>
        <v>124410</v>
      </c>
      <c r="I1464" s="1">
        <v>0</v>
      </c>
      <c r="J1464" s="1">
        <f>467*319</f>
        <v>148973</v>
      </c>
      <c r="K1464" s="1">
        <v>0</v>
      </c>
      <c r="L1464" s="2">
        <v>0</v>
      </c>
      <c r="M1464" s="1">
        <v>0</v>
      </c>
      <c r="N1464" s="1">
        <v>0</v>
      </c>
      <c r="O1464" s="1">
        <v>0</v>
      </c>
      <c r="P1464" s="1">
        <v>0</v>
      </c>
      <c r="Q1464" s="1">
        <f t="shared" si="788"/>
        <v>0</v>
      </c>
      <c r="R1464" s="1">
        <v>268</v>
      </c>
      <c r="S1464" s="1">
        <f t="shared" si="789"/>
        <v>1005268</v>
      </c>
      <c r="T1464" s="1">
        <v>150000</v>
      </c>
      <c r="U1464" s="1">
        <v>50000</v>
      </c>
      <c r="V1464" s="1">
        <v>0</v>
      </c>
      <c r="W1464" s="1">
        <v>50000</v>
      </c>
      <c r="X1464" s="1">
        <v>0</v>
      </c>
      <c r="Y1464" s="1">
        <v>0</v>
      </c>
      <c r="Z1464" s="1">
        <v>0</v>
      </c>
      <c r="AA1464" s="1">
        <v>0</v>
      </c>
      <c r="AB1464" s="1">
        <v>0</v>
      </c>
      <c r="AC1464" s="1">
        <v>0</v>
      </c>
      <c r="AD1464" s="1">
        <v>0</v>
      </c>
    </row>
    <row r="1465" spans="1:30" s="20" customFormat="1" ht="36" customHeight="1" x14ac:dyDescent="0.25">
      <c r="A1465" s="2">
        <f t="shared" si="783"/>
        <v>1411</v>
      </c>
      <c r="B1465" s="6">
        <f t="shared" si="790"/>
        <v>1411</v>
      </c>
      <c r="C1465" s="19" t="s">
        <v>782</v>
      </c>
      <c r="D1465" s="4">
        <f t="shared" si="784"/>
        <v>2320498.4000000004</v>
      </c>
      <c r="E1465" s="1">
        <f t="shared" si="787"/>
        <v>1065230.4000000001</v>
      </c>
      <c r="F1465" s="1">
        <f>804*317.6</f>
        <v>255350.40000000002</v>
      </c>
      <c r="G1465" s="1">
        <f>1693*317.6</f>
        <v>537696.80000000005</v>
      </c>
      <c r="H1465" s="1">
        <f>390*317.6</f>
        <v>123864.00000000001</v>
      </c>
      <c r="I1465" s="1">
        <v>0</v>
      </c>
      <c r="J1465" s="1">
        <f>467*317.6</f>
        <v>148319.20000000001</v>
      </c>
      <c r="K1465" s="1">
        <v>0</v>
      </c>
      <c r="L1465" s="2">
        <v>0</v>
      </c>
      <c r="M1465" s="1">
        <v>0</v>
      </c>
      <c r="N1465" s="1">
        <v>0</v>
      </c>
      <c r="O1465" s="1">
        <v>0</v>
      </c>
      <c r="P1465" s="1">
        <v>0</v>
      </c>
      <c r="Q1465" s="1">
        <f t="shared" si="788"/>
        <v>0</v>
      </c>
      <c r="R1465" s="1">
        <v>268</v>
      </c>
      <c r="S1465" s="1">
        <f t="shared" si="789"/>
        <v>1005268</v>
      </c>
      <c r="T1465" s="1">
        <v>150000</v>
      </c>
      <c r="U1465" s="1">
        <v>50000</v>
      </c>
      <c r="V1465" s="1">
        <v>0</v>
      </c>
      <c r="W1465" s="1">
        <v>50000</v>
      </c>
      <c r="X1465" s="1">
        <v>0</v>
      </c>
      <c r="Y1465" s="1">
        <v>0</v>
      </c>
      <c r="Z1465" s="1">
        <v>0</v>
      </c>
      <c r="AA1465" s="1">
        <v>0</v>
      </c>
      <c r="AB1465" s="1">
        <v>0</v>
      </c>
      <c r="AC1465" s="1">
        <v>0</v>
      </c>
      <c r="AD1465" s="1">
        <v>0</v>
      </c>
    </row>
    <row r="1466" spans="1:30" s="20" customFormat="1" ht="36" customHeight="1" x14ac:dyDescent="0.25">
      <c r="A1466" s="2">
        <f t="shared" si="783"/>
        <v>1412</v>
      </c>
      <c r="B1466" s="6">
        <f t="shared" si="790"/>
        <v>1412</v>
      </c>
      <c r="C1466" s="19" t="s">
        <v>783</v>
      </c>
      <c r="D1466" s="4">
        <f t="shared" si="784"/>
        <v>834125</v>
      </c>
      <c r="E1466" s="1">
        <f t="shared" si="787"/>
        <v>784125</v>
      </c>
      <c r="F1466" s="1">
        <v>0</v>
      </c>
      <c r="G1466" s="1">
        <f>1693*307.5</f>
        <v>520597.5</v>
      </c>
      <c r="H1466" s="1">
        <f>390*307.5</f>
        <v>119925</v>
      </c>
      <c r="I1466" s="1">
        <v>0</v>
      </c>
      <c r="J1466" s="1">
        <f>467*307.5</f>
        <v>143602.5</v>
      </c>
      <c r="K1466" s="1">
        <v>0</v>
      </c>
      <c r="L1466" s="2">
        <v>0</v>
      </c>
      <c r="M1466" s="1">
        <v>0</v>
      </c>
      <c r="N1466" s="1">
        <v>0</v>
      </c>
      <c r="O1466" s="1">
        <v>0</v>
      </c>
      <c r="P1466" s="1">
        <v>0</v>
      </c>
      <c r="Q1466" s="1">
        <f t="shared" si="788"/>
        <v>0</v>
      </c>
      <c r="R1466" s="1">
        <v>0</v>
      </c>
      <c r="S1466" s="1">
        <f t="shared" si="789"/>
        <v>0</v>
      </c>
      <c r="T1466" s="1">
        <v>0</v>
      </c>
      <c r="U1466" s="1">
        <v>50000</v>
      </c>
      <c r="V1466" s="1">
        <v>0</v>
      </c>
      <c r="W1466" s="1">
        <v>0</v>
      </c>
      <c r="X1466" s="1">
        <v>0</v>
      </c>
      <c r="Y1466" s="1">
        <v>0</v>
      </c>
      <c r="Z1466" s="1">
        <v>0</v>
      </c>
      <c r="AA1466" s="1">
        <v>0</v>
      </c>
      <c r="AB1466" s="1">
        <v>0</v>
      </c>
      <c r="AC1466" s="1">
        <v>0</v>
      </c>
      <c r="AD1466" s="1">
        <v>0</v>
      </c>
    </row>
    <row r="1467" spans="1:30" s="20" customFormat="1" ht="36" customHeight="1" x14ac:dyDescent="0.25">
      <c r="A1467" s="2">
        <f t="shared" si="783"/>
        <v>1413</v>
      </c>
      <c r="B1467" s="6">
        <f t="shared" si="790"/>
        <v>1413</v>
      </c>
      <c r="C1467" s="19" t="s">
        <v>784</v>
      </c>
      <c r="D1467" s="4">
        <f t="shared" si="784"/>
        <v>1602185</v>
      </c>
      <c r="E1467" s="1">
        <f t="shared" si="787"/>
        <v>1552185</v>
      </c>
      <c r="F1467" s="1">
        <v>0</v>
      </c>
      <c r="G1467" s="1">
        <f>1693*608.7</f>
        <v>1030529.1000000001</v>
      </c>
      <c r="H1467" s="1">
        <f>390*608.7</f>
        <v>237393.00000000003</v>
      </c>
      <c r="I1467" s="1">
        <v>0</v>
      </c>
      <c r="J1467" s="1">
        <f>467*608.7</f>
        <v>284262.90000000002</v>
      </c>
      <c r="K1467" s="1">
        <v>0</v>
      </c>
      <c r="L1467" s="2">
        <v>0</v>
      </c>
      <c r="M1467" s="1">
        <v>0</v>
      </c>
      <c r="N1467" s="1">
        <v>0</v>
      </c>
      <c r="O1467" s="1">
        <v>0</v>
      </c>
      <c r="P1467" s="1">
        <v>0</v>
      </c>
      <c r="Q1467" s="1">
        <f t="shared" si="788"/>
        <v>0</v>
      </c>
      <c r="R1467" s="1">
        <v>0</v>
      </c>
      <c r="S1467" s="1">
        <f t="shared" si="789"/>
        <v>0</v>
      </c>
      <c r="T1467" s="1">
        <v>0</v>
      </c>
      <c r="U1467" s="1">
        <v>50000</v>
      </c>
      <c r="V1467" s="1">
        <v>0</v>
      </c>
      <c r="W1467" s="1">
        <v>0</v>
      </c>
      <c r="X1467" s="1">
        <v>0</v>
      </c>
      <c r="Y1467" s="1">
        <v>0</v>
      </c>
      <c r="Z1467" s="1">
        <v>0</v>
      </c>
      <c r="AA1467" s="1">
        <v>0</v>
      </c>
      <c r="AB1467" s="1">
        <v>0</v>
      </c>
      <c r="AC1467" s="1">
        <v>0</v>
      </c>
      <c r="AD1467" s="1">
        <v>0</v>
      </c>
    </row>
    <row r="1468" spans="1:30" s="20" customFormat="1" ht="36" customHeight="1" x14ac:dyDescent="0.25">
      <c r="A1468" s="2">
        <f t="shared" si="783"/>
        <v>1414</v>
      </c>
      <c r="B1468" s="6">
        <f t="shared" si="790"/>
        <v>1414</v>
      </c>
      <c r="C1468" s="19" t="s">
        <v>785</v>
      </c>
      <c r="D1468" s="4">
        <f t="shared" si="784"/>
        <v>22939058.25</v>
      </c>
      <c r="E1468" s="1">
        <f t="shared" si="787"/>
        <v>13142038.25</v>
      </c>
      <c r="F1468" s="1">
        <f>804*3348.29</f>
        <v>2692025.16</v>
      </c>
      <c r="G1468" s="1">
        <f>1693*3348.29</f>
        <v>5668654.9699999997</v>
      </c>
      <c r="H1468" s="1">
        <f>390*3348.29</f>
        <v>1305833.1000000001</v>
      </c>
      <c r="I1468" s="1">
        <f>571*3348.29</f>
        <v>1911873.59</v>
      </c>
      <c r="J1468" s="1">
        <f>467*3348.29</f>
        <v>1563651.43</v>
      </c>
      <c r="K1468" s="1">
        <v>0</v>
      </c>
      <c r="L1468" s="2">
        <v>0</v>
      </c>
      <c r="M1468" s="1">
        <v>0</v>
      </c>
      <c r="N1468" s="1">
        <v>916</v>
      </c>
      <c r="O1468" s="1">
        <f>N1468*4968</f>
        <v>4550688</v>
      </c>
      <c r="P1468" s="1">
        <v>0</v>
      </c>
      <c r="Q1468" s="1">
        <f t="shared" si="788"/>
        <v>0</v>
      </c>
      <c r="R1468" s="1">
        <v>1332</v>
      </c>
      <c r="S1468" s="1">
        <f t="shared" si="789"/>
        <v>4996332</v>
      </c>
      <c r="T1468" s="1">
        <v>150000</v>
      </c>
      <c r="U1468" s="1">
        <v>50000</v>
      </c>
      <c r="V1468" s="1">
        <v>0</v>
      </c>
      <c r="W1468" s="1">
        <v>50000</v>
      </c>
      <c r="X1468" s="1">
        <v>0</v>
      </c>
      <c r="Y1468" s="1">
        <v>0</v>
      </c>
      <c r="Z1468" s="1">
        <v>0</v>
      </c>
      <c r="AA1468" s="1">
        <v>0</v>
      </c>
      <c r="AB1468" s="1">
        <v>0</v>
      </c>
      <c r="AC1468" s="1">
        <v>0</v>
      </c>
      <c r="AD1468" s="1">
        <v>0</v>
      </c>
    </row>
    <row r="1469" spans="1:30" s="20" customFormat="1" ht="36" customHeight="1" x14ac:dyDescent="0.25">
      <c r="A1469" s="2">
        <f t="shared" si="783"/>
        <v>1415</v>
      </c>
      <c r="B1469" s="6">
        <f>A1469</f>
        <v>1415</v>
      </c>
      <c r="C1469" s="19" t="s">
        <v>780</v>
      </c>
      <c r="D1469" s="4">
        <f t="shared" si="784"/>
        <v>23571840.799999997</v>
      </c>
      <c r="E1469" s="1">
        <f>SUM(F1469:K1469)</f>
        <v>11226508.799999999</v>
      </c>
      <c r="F1469" s="1">
        <f>804*3347.2</f>
        <v>2691148.8</v>
      </c>
      <c r="G1469" s="1">
        <f>1693*3347.2</f>
        <v>5666809.5999999996</v>
      </c>
      <c r="H1469" s="1">
        <f>390*3347.2</f>
        <v>1305408</v>
      </c>
      <c r="I1469" s="1">
        <v>0</v>
      </c>
      <c r="J1469" s="1">
        <f>467*3347.2</f>
        <v>1563142.4</v>
      </c>
      <c r="K1469" s="1">
        <v>0</v>
      </c>
      <c r="L1469" s="2">
        <v>0</v>
      </c>
      <c r="M1469" s="1">
        <v>0</v>
      </c>
      <c r="N1469" s="1">
        <v>916</v>
      </c>
      <c r="O1469" s="1">
        <f>N1469*7750</f>
        <v>7099000</v>
      </c>
      <c r="P1469" s="1">
        <v>0</v>
      </c>
      <c r="Q1469" s="1">
        <f>P1469*1400</f>
        <v>0</v>
      </c>
      <c r="R1469" s="1">
        <v>1332</v>
      </c>
      <c r="S1469" s="1">
        <f>R1469*3751</f>
        <v>4996332</v>
      </c>
      <c r="T1469" s="1">
        <v>150000</v>
      </c>
      <c r="U1469" s="1">
        <v>50000</v>
      </c>
      <c r="V1469" s="1">
        <v>0</v>
      </c>
      <c r="W1469" s="1">
        <v>50000</v>
      </c>
      <c r="X1469" s="1">
        <v>0</v>
      </c>
      <c r="Y1469" s="1">
        <v>0</v>
      </c>
      <c r="Z1469" s="1">
        <v>0</v>
      </c>
      <c r="AA1469" s="1">
        <v>0</v>
      </c>
      <c r="AB1469" s="1">
        <v>0</v>
      </c>
      <c r="AC1469" s="1">
        <v>0</v>
      </c>
      <c r="AD1469" s="1">
        <v>0</v>
      </c>
    </row>
    <row r="1470" spans="1:30" s="20" customFormat="1" ht="54.95" customHeight="1" x14ac:dyDescent="0.25">
      <c r="A1470" s="3"/>
      <c r="B1470" s="47" t="s">
        <v>1980</v>
      </c>
      <c r="C1470" s="48"/>
      <c r="D1470" s="4">
        <f>SUM(D1471:D1522)</f>
        <v>558550917.26000011</v>
      </c>
      <c r="E1470" s="4">
        <f t="shared" ref="E1470:AD1470" si="791">SUM(E1471:E1522)</f>
        <v>252358287</v>
      </c>
      <c r="F1470" s="4">
        <f t="shared" si="791"/>
        <v>59298055.199999981</v>
      </c>
      <c r="G1470" s="4">
        <f t="shared" si="791"/>
        <v>115701143.69999997</v>
      </c>
      <c r="H1470" s="4">
        <f t="shared" si="791"/>
        <v>25959219</v>
      </c>
      <c r="I1470" s="4">
        <f t="shared" si="791"/>
        <v>18044113.899999999</v>
      </c>
      <c r="J1470" s="4">
        <f t="shared" si="791"/>
        <v>33355755.199999988</v>
      </c>
      <c r="K1470" s="4">
        <f t="shared" si="791"/>
        <v>0</v>
      </c>
      <c r="L1470" s="17">
        <f t="shared" si="791"/>
        <v>4</v>
      </c>
      <c r="M1470" s="4">
        <f t="shared" si="791"/>
        <v>14000000</v>
      </c>
      <c r="N1470" s="4">
        <f t="shared" si="791"/>
        <v>24287.780000000006</v>
      </c>
      <c r="O1470" s="4">
        <f t="shared" si="791"/>
        <v>184474015</v>
      </c>
      <c r="P1470" s="4">
        <f t="shared" si="791"/>
        <v>350</v>
      </c>
      <c r="Q1470" s="4">
        <f t="shared" si="791"/>
        <v>490000</v>
      </c>
      <c r="R1470" s="4">
        <f t="shared" si="791"/>
        <v>27640.260000000002</v>
      </c>
      <c r="S1470" s="4">
        <f t="shared" si="791"/>
        <v>103678615.25999999</v>
      </c>
      <c r="T1470" s="4">
        <f t="shared" si="791"/>
        <v>150000</v>
      </c>
      <c r="U1470" s="4">
        <f t="shared" si="791"/>
        <v>2600000</v>
      </c>
      <c r="V1470" s="4">
        <f t="shared" si="791"/>
        <v>0</v>
      </c>
      <c r="W1470" s="4">
        <f t="shared" si="791"/>
        <v>800000</v>
      </c>
      <c r="X1470" s="4">
        <f t="shared" si="791"/>
        <v>0</v>
      </c>
      <c r="Y1470" s="4">
        <f t="shared" si="791"/>
        <v>0</v>
      </c>
      <c r="Z1470" s="4">
        <f t="shared" si="791"/>
        <v>0</v>
      </c>
      <c r="AA1470" s="4">
        <f t="shared" si="791"/>
        <v>0</v>
      </c>
      <c r="AB1470" s="4">
        <f t="shared" si="791"/>
        <v>0</v>
      </c>
      <c r="AC1470" s="4">
        <f t="shared" si="791"/>
        <v>0</v>
      </c>
      <c r="AD1470" s="4">
        <f t="shared" si="791"/>
        <v>0</v>
      </c>
    </row>
    <row r="1471" spans="1:30" s="20" customFormat="1" ht="36" customHeight="1" x14ac:dyDescent="0.25">
      <c r="A1471" s="2">
        <f>ROW()-ROW($A$11)-44</f>
        <v>1416</v>
      </c>
      <c r="B1471" s="6">
        <f t="shared" ref="B1471:B1536" si="792">A1471</f>
        <v>1416</v>
      </c>
      <c r="C1471" s="19" t="s">
        <v>786</v>
      </c>
      <c r="D1471" s="4">
        <f t="shared" ref="D1471:D1500" si="793">E1471+M1471+O1471+Q1471+S1471+T1471+U1471+V1471+W1471+X1471+Z1471+AA1471+AB1471+AC1471+AD1471</f>
        <v>36620127.5</v>
      </c>
      <c r="E1471" s="1">
        <f>SUM(F1471:K1471)</f>
        <v>18988757.5</v>
      </c>
      <c r="F1471" s="1">
        <f>804*4837.9</f>
        <v>3889671.5999999996</v>
      </c>
      <c r="G1471" s="1">
        <f>1693*4837.9</f>
        <v>8190564.6999999993</v>
      </c>
      <c r="H1471" s="1">
        <f>390*4837.9</f>
        <v>1886780.9999999998</v>
      </c>
      <c r="I1471" s="1">
        <f>571*4837.9</f>
        <v>2762440.9</v>
      </c>
      <c r="J1471" s="1">
        <f>467*4837.9</f>
        <v>2259299.2999999998</v>
      </c>
      <c r="K1471" s="1">
        <v>0</v>
      </c>
      <c r="L1471" s="2">
        <v>0</v>
      </c>
      <c r="M1471" s="1">
        <v>0</v>
      </c>
      <c r="N1471" s="1">
        <v>1227</v>
      </c>
      <c r="O1471" s="1">
        <f>N1471*7750</f>
        <v>9509250</v>
      </c>
      <c r="P1471" s="1">
        <v>50</v>
      </c>
      <c r="Q1471" s="1">
        <f t="shared" ref="Q1471:Q1480" si="794">P1471*1400</f>
        <v>70000</v>
      </c>
      <c r="R1471" s="1">
        <v>2120</v>
      </c>
      <c r="S1471" s="1">
        <f>R1471*3751</f>
        <v>7952120</v>
      </c>
      <c r="T1471" s="1">
        <v>0</v>
      </c>
      <c r="U1471" s="1">
        <v>50000</v>
      </c>
      <c r="V1471" s="1">
        <v>0</v>
      </c>
      <c r="W1471" s="1">
        <v>50000</v>
      </c>
      <c r="X1471" s="1">
        <v>0</v>
      </c>
      <c r="Y1471" s="1">
        <v>0</v>
      </c>
      <c r="Z1471" s="1">
        <v>0</v>
      </c>
      <c r="AA1471" s="1">
        <v>0</v>
      </c>
      <c r="AB1471" s="1">
        <v>0</v>
      </c>
      <c r="AC1471" s="1">
        <v>0</v>
      </c>
      <c r="AD1471" s="1">
        <v>0</v>
      </c>
    </row>
    <row r="1472" spans="1:30" s="20" customFormat="1" ht="36" customHeight="1" x14ac:dyDescent="0.25">
      <c r="A1472" s="2">
        <f t="shared" ref="A1472:A1522" si="795">ROW()-ROW($A$11)-44</f>
        <v>1417</v>
      </c>
      <c r="B1472" s="6">
        <f t="shared" si="792"/>
        <v>1417</v>
      </c>
      <c r="C1472" s="19" t="s">
        <v>787</v>
      </c>
      <c r="D1472" s="4">
        <f t="shared" si="793"/>
        <v>37257212</v>
      </c>
      <c r="E1472" s="1">
        <f t="shared" ref="E1472:E1522" si="796">SUM(F1472:K1472)</f>
        <v>19199530</v>
      </c>
      <c r="F1472" s="1">
        <f>804*4891.6</f>
        <v>3932846.4000000004</v>
      </c>
      <c r="G1472" s="1">
        <f>1693*4891.6</f>
        <v>8281478.8000000007</v>
      </c>
      <c r="H1472" s="1">
        <f>390*4891.6</f>
        <v>1907724.0000000002</v>
      </c>
      <c r="I1472" s="1">
        <f>571*4891.6</f>
        <v>2793103.6</v>
      </c>
      <c r="J1472" s="1">
        <f>467*4891.6</f>
        <v>2284377.2000000002</v>
      </c>
      <c r="K1472" s="1">
        <v>0</v>
      </c>
      <c r="L1472" s="2">
        <v>0</v>
      </c>
      <c r="M1472" s="1">
        <v>0</v>
      </c>
      <c r="N1472" s="1">
        <v>1252</v>
      </c>
      <c r="O1472" s="1">
        <f>N1472*7750</f>
        <v>9703000</v>
      </c>
      <c r="P1472" s="1">
        <v>50</v>
      </c>
      <c r="Q1472" s="1">
        <f t="shared" si="794"/>
        <v>70000</v>
      </c>
      <c r="R1472" s="1">
        <v>2182</v>
      </c>
      <c r="S1472" s="1">
        <f t="shared" ref="S1472:S1479" si="797">R1472*3751</f>
        <v>8184682</v>
      </c>
      <c r="T1472" s="1">
        <v>0</v>
      </c>
      <c r="U1472" s="1">
        <v>50000</v>
      </c>
      <c r="V1472" s="1">
        <v>0</v>
      </c>
      <c r="W1472" s="1">
        <v>50000</v>
      </c>
      <c r="X1472" s="1">
        <v>0</v>
      </c>
      <c r="Y1472" s="1">
        <v>0</v>
      </c>
      <c r="Z1472" s="1">
        <v>0</v>
      </c>
      <c r="AA1472" s="1">
        <v>0</v>
      </c>
      <c r="AB1472" s="1">
        <v>0</v>
      </c>
      <c r="AC1472" s="1">
        <v>0</v>
      </c>
      <c r="AD1472" s="1">
        <v>0</v>
      </c>
    </row>
    <row r="1473" spans="1:30" s="20" customFormat="1" ht="36" customHeight="1" x14ac:dyDescent="0.25">
      <c r="A1473" s="2">
        <f t="shared" si="795"/>
        <v>1418</v>
      </c>
      <c r="B1473" s="6">
        <f t="shared" si="792"/>
        <v>1418</v>
      </c>
      <c r="C1473" s="19" t="s">
        <v>788</v>
      </c>
      <c r="D1473" s="4">
        <f t="shared" si="793"/>
        <v>36704713</v>
      </c>
      <c r="E1473" s="1">
        <f t="shared" si="796"/>
        <v>18825870</v>
      </c>
      <c r="F1473" s="1">
        <f>804*4796.4</f>
        <v>3856305.5999999996</v>
      </c>
      <c r="G1473" s="1">
        <f>1693*4796.4</f>
        <v>8120305.1999999993</v>
      </c>
      <c r="H1473" s="1">
        <f>390*4796.4</f>
        <v>1870595.9999999998</v>
      </c>
      <c r="I1473" s="1">
        <f>571*4796.4</f>
        <v>2738744.4</v>
      </c>
      <c r="J1473" s="1">
        <f>467*4796.4</f>
        <v>2239918.7999999998</v>
      </c>
      <c r="K1473" s="1">
        <v>0</v>
      </c>
      <c r="L1473" s="2">
        <v>0</v>
      </c>
      <c r="M1473" s="1">
        <v>0</v>
      </c>
      <c r="N1473" s="1">
        <v>1235.7</v>
      </c>
      <c r="O1473" s="1">
        <f>N1473*7750</f>
        <v>9576675</v>
      </c>
      <c r="P1473" s="1">
        <v>50</v>
      </c>
      <c r="Q1473" s="1">
        <f t="shared" si="794"/>
        <v>70000</v>
      </c>
      <c r="R1473" s="1">
        <v>2168</v>
      </c>
      <c r="S1473" s="1">
        <f t="shared" si="797"/>
        <v>8132168</v>
      </c>
      <c r="T1473" s="1">
        <v>0</v>
      </c>
      <c r="U1473" s="1">
        <v>50000</v>
      </c>
      <c r="V1473" s="1">
        <v>0</v>
      </c>
      <c r="W1473" s="1">
        <v>50000</v>
      </c>
      <c r="X1473" s="1">
        <v>0</v>
      </c>
      <c r="Y1473" s="1">
        <v>0</v>
      </c>
      <c r="Z1473" s="1">
        <v>0</v>
      </c>
      <c r="AA1473" s="1">
        <v>0</v>
      </c>
      <c r="AB1473" s="1">
        <v>0</v>
      </c>
      <c r="AC1473" s="1">
        <v>0</v>
      </c>
      <c r="AD1473" s="1">
        <v>0</v>
      </c>
    </row>
    <row r="1474" spans="1:30" s="20" customFormat="1" ht="36" customHeight="1" x14ac:dyDescent="0.25">
      <c r="A1474" s="2">
        <f t="shared" si="795"/>
        <v>1419</v>
      </c>
      <c r="B1474" s="6">
        <f t="shared" si="792"/>
        <v>1419</v>
      </c>
      <c r="C1474" s="19" t="s">
        <v>789</v>
      </c>
      <c r="D1474" s="4">
        <f t="shared" si="793"/>
        <v>37295913.190000005</v>
      </c>
      <c r="E1474" s="1">
        <f t="shared" si="796"/>
        <v>19082565.000000004</v>
      </c>
      <c r="F1474" s="1">
        <f>804*4861.8</f>
        <v>3908887.2</v>
      </c>
      <c r="G1474" s="1">
        <f>1693*4861.8</f>
        <v>8231027.4000000004</v>
      </c>
      <c r="H1474" s="1">
        <f>390*4861.8</f>
        <v>1896102</v>
      </c>
      <c r="I1474" s="1">
        <f>571*4861.8</f>
        <v>2776087.8000000003</v>
      </c>
      <c r="J1474" s="1">
        <f>467*4861.8</f>
        <v>2270460.6</v>
      </c>
      <c r="K1474" s="1">
        <v>0</v>
      </c>
      <c r="L1474" s="2">
        <v>0</v>
      </c>
      <c r="M1474" s="1">
        <v>0</v>
      </c>
      <c r="N1474" s="1">
        <v>1234</v>
      </c>
      <c r="O1474" s="1">
        <f>N1474*7750</f>
        <v>9563500</v>
      </c>
      <c r="P1474" s="1">
        <v>50</v>
      </c>
      <c r="Q1474" s="1">
        <f t="shared" si="794"/>
        <v>70000</v>
      </c>
      <c r="R1474" s="1">
        <v>2260.69</v>
      </c>
      <c r="S1474" s="1">
        <f t="shared" si="797"/>
        <v>8479848.1899999995</v>
      </c>
      <c r="T1474" s="1">
        <v>0</v>
      </c>
      <c r="U1474" s="1">
        <v>50000</v>
      </c>
      <c r="V1474" s="1">
        <v>0</v>
      </c>
      <c r="W1474" s="1">
        <v>50000</v>
      </c>
      <c r="X1474" s="1">
        <v>0</v>
      </c>
      <c r="Y1474" s="1">
        <v>0</v>
      </c>
      <c r="Z1474" s="1">
        <v>0</v>
      </c>
      <c r="AA1474" s="1">
        <v>0</v>
      </c>
      <c r="AB1474" s="1">
        <v>0</v>
      </c>
      <c r="AC1474" s="1">
        <v>0</v>
      </c>
      <c r="AD1474" s="1">
        <v>0</v>
      </c>
    </row>
    <row r="1475" spans="1:30" s="20" customFormat="1" ht="36" customHeight="1" x14ac:dyDescent="0.25">
      <c r="A1475" s="2">
        <f t="shared" si="795"/>
        <v>1420</v>
      </c>
      <c r="B1475" s="6">
        <f t="shared" si="792"/>
        <v>1420</v>
      </c>
      <c r="C1475" s="19" t="s">
        <v>790</v>
      </c>
      <c r="D1475" s="4">
        <f t="shared" si="793"/>
        <v>2481779.7999999998</v>
      </c>
      <c r="E1475" s="1">
        <f t="shared" si="796"/>
        <v>782497.10000000009</v>
      </c>
      <c r="F1475" s="1">
        <f>804*471.1</f>
        <v>378764.4</v>
      </c>
      <c r="G1475" s="1">
        <v>0</v>
      </c>
      <c r="H1475" s="1">
        <f>390*471.1</f>
        <v>183729</v>
      </c>
      <c r="I1475" s="1">
        <v>0</v>
      </c>
      <c r="J1475" s="1">
        <f>467*471.1</f>
        <v>220003.7</v>
      </c>
      <c r="K1475" s="1">
        <v>0</v>
      </c>
      <c r="L1475" s="2">
        <v>0</v>
      </c>
      <c r="M1475" s="1">
        <v>0</v>
      </c>
      <c r="N1475" s="1">
        <v>0</v>
      </c>
      <c r="O1475" s="1">
        <v>0</v>
      </c>
      <c r="P1475" s="1">
        <v>50</v>
      </c>
      <c r="Q1475" s="1">
        <f t="shared" si="794"/>
        <v>70000</v>
      </c>
      <c r="R1475" s="1">
        <v>407.7</v>
      </c>
      <c r="S1475" s="1">
        <f t="shared" si="797"/>
        <v>1529282.7</v>
      </c>
      <c r="T1475" s="1">
        <v>0</v>
      </c>
      <c r="U1475" s="1">
        <v>50000</v>
      </c>
      <c r="V1475" s="1">
        <v>0</v>
      </c>
      <c r="W1475" s="1">
        <v>50000</v>
      </c>
      <c r="X1475" s="1">
        <v>0</v>
      </c>
      <c r="Y1475" s="1">
        <v>0</v>
      </c>
      <c r="Z1475" s="1">
        <v>0</v>
      </c>
      <c r="AA1475" s="1">
        <v>0</v>
      </c>
      <c r="AB1475" s="1">
        <v>0</v>
      </c>
      <c r="AC1475" s="1">
        <v>0</v>
      </c>
      <c r="AD1475" s="1">
        <v>0</v>
      </c>
    </row>
    <row r="1476" spans="1:30" s="20" customFormat="1" ht="36" customHeight="1" x14ac:dyDescent="0.25">
      <c r="A1476" s="2">
        <f t="shared" si="795"/>
        <v>1421</v>
      </c>
      <c r="B1476" s="6">
        <f t="shared" si="792"/>
        <v>1421</v>
      </c>
      <c r="C1476" s="19" t="s">
        <v>791</v>
      </c>
      <c r="D1476" s="4">
        <f t="shared" si="793"/>
        <v>9145041.7999999989</v>
      </c>
      <c r="E1476" s="1">
        <f t="shared" si="796"/>
        <v>9095041.7999999989</v>
      </c>
      <c r="F1476" s="1">
        <f>804*2711.7</f>
        <v>2180206.7999999998</v>
      </c>
      <c r="G1476" s="1">
        <f>1693*2711.7</f>
        <v>4590908.0999999996</v>
      </c>
      <c r="H1476" s="1">
        <f>390*2711.7</f>
        <v>1057563</v>
      </c>
      <c r="I1476" s="1">
        <v>0</v>
      </c>
      <c r="J1476" s="1">
        <f>467*2711.7</f>
        <v>1266363.8999999999</v>
      </c>
      <c r="K1476" s="1">
        <v>0</v>
      </c>
      <c r="L1476" s="2">
        <v>0</v>
      </c>
      <c r="M1476" s="1">
        <v>0</v>
      </c>
      <c r="N1476" s="1">
        <v>0</v>
      </c>
      <c r="O1476" s="1">
        <v>0</v>
      </c>
      <c r="P1476" s="1">
        <v>0</v>
      </c>
      <c r="Q1476" s="1">
        <f t="shared" si="794"/>
        <v>0</v>
      </c>
      <c r="R1476" s="1">
        <v>0</v>
      </c>
      <c r="S1476" s="1">
        <f t="shared" si="797"/>
        <v>0</v>
      </c>
      <c r="T1476" s="1">
        <v>0</v>
      </c>
      <c r="U1476" s="1">
        <v>50000</v>
      </c>
      <c r="V1476" s="1">
        <v>0</v>
      </c>
      <c r="W1476" s="1">
        <v>0</v>
      </c>
      <c r="X1476" s="1">
        <v>0</v>
      </c>
      <c r="Y1476" s="1">
        <v>0</v>
      </c>
      <c r="Z1476" s="1">
        <v>0</v>
      </c>
      <c r="AA1476" s="1">
        <v>0</v>
      </c>
      <c r="AB1476" s="1">
        <v>0</v>
      </c>
      <c r="AC1476" s="1">
        <v>0</v>
      </c>
      <c r="AD1476" s="1">
        <v>0</v>
      </c>
    </row>
    <row r="1477" spans="1:30" s="20" customFormat="1" ht="36" customHeight="1" x14ac:dyDescent="0.25">
      <c r="A1477" s="2">
        <f t="shared" si="795"/>
        <v>1422</v>
      </c>
      <c r="B1477" s="6">
        <f>A1477</f>
        <v>1422</v>
      </c>
      <c r="C1477" s="19" t="s">
        <v>177</v>
      </c>
      <c r="D1477" s="4">
        <f t="shared" si="793"/>
        <v>23061625.399999999</v>
      </c>
      <c r="E1477" s="1">
        <f t="shared" si="796"/>
        <v>11437475.399999999</v>
      </c>
      <c r="F1477" s="1">
        <f>804*3410.1</f>
        <v>2741720.4</v>
      </c>
      <c r="G1477" s="1">
        <f>1693*3410.1</f>
        <v>5773299.2999999998</v>
      </c>
      <c r="H1477" s="1">
        <f>390*3410.1</f>
        <v>1329939</v>
      </c>
      <c r="I1477" s="1">
        <v>0</v>
      </c>
      <c r="J1477" s="1">
        <f>467*3410.1</f>
        <v>1592516.7</v>
      </c>
      <c r="K1477" s="1">
        <v>0</v>
      </c>
      <c r="L1477" s="2">
        <v>0</v>
      </c>
      <c r="M1477" s="1">
        <v>0</v>
      </c>
      <c r="N1477" s="1">
        <v>1533</v>
      </c>
      <c r="O1477" s="1">
        <f>N1477*7550</f>
        <v>11574150</v>
      </c>
      <c r="P1477" s="1">
        <v>0</v>
      </c>
      <c r="Q1477" s="1">
        <f t="shared" si="794"/>
        <v>0</v>
      </c>
      <c r="R1477" s="1">
        <v>0</v>
      </c>
      <c r="S1477" s="1">
        <f t="shared" si="797"/>
        <v>0</v>
      </c>
      <c r="T1477" s="1">
        <v>0</v>
      </c>
      <c r="U1477" s="1">
        <v>50000</v>
      </c>
      <c r="V1477" s="1">
        <v>0</v>
      </c>
      <c r="W1477" s="1">
        <v>0</v>
      </c>
      <c r="X1477" s="1">
        <v>0</v>
      </c>
      <c r="Y1477" s="1">
        <v>0</v>
      </c>
      <c r="Z1477" s="1">
        <v>0</v>
      </c>
      <c r="AA1477" s="1">
        <v>0</v>
      </c>
      <c r="AB1477" s="1">
        <v>0</v>
      </c>
      <c r="AC1477" s="1">
        <v>0</v>
      </c>
      <c r="AD1477" s="1">
        <v>0</v>
      </c>
    </row>
    <row r="1478" spans="1:30" s="20" customFormat="1" ht="36" customHeight="1" x14ac:dyDescent="0.25">
      <c r="A1478" s="2">
        <f t="shared" si="795"/>
        <v>1423</v>
      </c>
      <c r="B1478" s="2">
        <f t="shared" si="792"/>
        <v>1423</v>
      </c>
      <c r="C1478" s="19" t="s">
        <v>792</v>
      </c>
      <c r="D1478" s="39">
        <f t="shared" si="793"/>
        <v>7156866</v>
      </c>
      <c r="E1478" s="1">
        <f t="shared" si="796"/>
        <v>2766340</v>
      </c>
      <c r="F1478" s="1">
        <f>804*704.8</f>
        <v>566659.19999999995</v>
      </c>
      <c r="G1478" s="1">
        <f>1693*704.8</f>
        <v>1193226.3999999999</v>
      </c>
      <c r="H1478" s="1">
        <f>390*704.8</f>
        <v>274872</v>
      </c>
      <c r="I1478" s="1">
        <f>571*704.8</f>
        <v>402440.8</v>
      </c>
      <c r="J1478" s="1">
        <f>467*704.8</f>
        <v>329141.59999999998</v>
      </c>
      <c r="K1478" s="1">
        <v>0</v>
      </c>
      <c r="L1478" s="2">
        <v>0</v>
      </c>
      <c r="M1478" s="1">
        <v>0</v>
      </c>
      <c r="N1478" s="1">
        <v>411</v>
      </c>
      <c r="O1478" s="1">
        <f>N1478*7750</f>
        <v>3185250</v>
      </c>
      <c r="P1478" s="1">
        <v>50</v>
      </c>
      <c r="Q1478" s="1">
        <f t="shared" si="794"/>
        <v>70000</v>
      </c>
      <c r="R1478" s="1">
        <v>276</v>
      </c>
      <c r="S1478" s="1">
        <f t="shared" si="797"/>
        <v>1035276</v>
      </c>
      <c r="T1478" s="1">
        <v>0</v>
      </c>
      <c r="U1478" s="1">
        <v>50000</v>
      </c>
      <c r="V1478" s="1">
        <v>0</v>
      </c>
      <c r="W1478" s="1">
        <v>50000</v>
      </c>
      <c r="X1478" s="1">
        <v>0</v>
      </c>
      <c r="Y1478" s="1">
        <v>0</v>
      </c>
      <c r="Z1478" s="1">
        <v>0</v>
      </c>
      <c r="AA1478" s="1">
        <v>0</v>
      </c>
      <c r="AB1478" s="1">
        <v>0</v>
      </c>
      <c r="AC1478" s="1">
        <v>0</v>
      </c>
      <c r="AD1478" s="1">
        <v>0</v>
      </c>
    </row>
    <row r="1479" spans="1:30" s="20" customFormat="1" ht="36" customHeight="1" x14ac:dyDescent="0.25">
      <c r="A1479" s="2">
        <f t="shared" si="795"/>
        <v>1424</v>
      </c>
      <c r="B1479" s="2">
        <f t="shared" si="792"/>
        <v>1424</v>
      </c>
      <c r="C1479" s="19" t="s">
        <v>793</v>
      </c>
      <c r="D1479" s="39">
        <f t="shared" si="793"/>
        <v>3990389.2</v>
      </c>
      <c r="E1479" s="1">
        <f t="shared" si="796"/>
        <v>1114863.2000000002</v>
      </c>
      <c r="F1479" s="1">
        <f>804*671.2</f>
        <v>539644.80000000005</v>
      </c>
      <c r="G1479" s="1">
        <v>0</v>
      </c>
      <c r="H1479" s="1">
        <f>390*671.2</f>
        <v>261768.00000000003</v>
      </c>
      <c r="I1479" s="1">
        <v>0</v>
      </c>
      <c r="J1479" s="1">
        <f>467*671.2</f>
        <v>313450.40000000002</v>
      </c>
      <c r="K1479" s="1">
        <v>0</v>
      </c>
      <c r="L1479" s="2">
        <v>0</v>
      </c>
      <c r="M1479" s="1">
        <v>0</v>
      </c>
      <c r="N1479" s="1">
        <v>231</v>
      </c>
      <c r="O1479" s="1">
        <f>N1479*7750</f>
        <v>1790250</v>
      </c>
      <c r="P1479" s="1">
        <v>0</v>
      </c>
      <c r="Q1479" s="1">
        <f t="shared" si="794"/>
        <v>0</v>
      </c>
      <c r="R1479" s="1">
        <v>276</v>
      </c>
      <c r="S1479" s="1">
        <f t="shared" si="797"/>
        <v>1035276</v>
      </c>
      <c r="T1479" s="1">
        <v>0</v>
      </c>
      <c r="U1479" s="1">
        <v>50000</v>
      </c>
      <c r="V1479" s="1">
        <v>0</v>
      </c>
      <c r="W1479" s="1">
        <v>0</v>
      </c>
      <c r="X1479" s="1">
        <v>0</v>
      </c>
      <c r="Y1479" s="1">
        <v>0</v>
      </c>
      <c r="Z1479" s="1">
        <v>0</v>
      </c>
      <c r="AA1479" s="1">
        <v>0</v>
      </c>
      <c r="AB1479" s="1">
        <v>0</v>
      </c>
      <c r="AC1479" s="1">
        <v>0</v>
      </c>
      <c r="AD1479" s="1">
        <v>0</v>
      </c>
    </row>
    <row r="1480" spans="1:30" s="20" customFormat="1" ht="36" customHeight="1" x14ac:dyDescent="0.25">
      <c r="A1480" s="2">
        <f t="shared" si="795"/>
        <v>1425</v>
      </c>
      <c r="B1480" s="6">
        <f t="shared" si="792"/>
        <v>1425</v>
      </c>
      <c r="C1480" s="19" t="s">
        <v>794</v>
      </c>
      <c r="D1480" s="4">
        <f t="shared" si="793"/>
        <v>5125014.5</v>
      </c>
      <c r="E1480" s="1">
        <f t="shared" si="796"/>
        <v>2172487.5</v>
      </c>
      <c r="F1480" s="1">
        <f>804*553.5</f>
        <v>445014</v>
      </c>
      <c r="G1480" s="1">
        <f>1693*553.5</f>
        <v>937075.5</v>
      </c>
      <c r="H1480" s="1">
        <f>390*553.5</f>
        <v>215865</v>
      </c>
      <c r="I1480" s="1">
        <f>571*553.5</f>
        <v>316048.5</v>
      </c>
      <c r="J1480" s="1">
        <f>467*553.5</f>
        <v>258484.5</v>
      </c>
      <c r="K1480" s="1">
        <v>0</v>
      </c>
      <c r="L1480" s="2">
        <v>0</v>
      </c>
      <c r="M1480" s="1">
        <v>0</v>
      </c>
      <c r="N1480" s="1">
        <v>234</v>
      </c>
      <c r="O1480" s="1">
        <f>N1480*7750</f>
        <v>1813500</v>
      </c>
      <c r="P1480" s="1">
        <v>0</v>
      </c>
      <c r="Q1480" s="1">
        <f t="shared" si="794"/>
        <v>0</v>
      </c>
      <c r="R1480" s="1">
        <v>277</v>
      </c>
      <c r="S1480" s="1">
        <f t="shared" ref="S1480:S1485" si="798">R1480*3751</f>
        <v>1039027</v>
      </c>
      <c r="T1480" s="1">
        <v>0</v>
      </c>
      <c r="U1480" s="1">
        <v>50000</v>
      </c>
      <c r="V1480" s="1">
        <v>0</v>
      </c>
      <c r="W1480" s="1">
        <v>50000</v>
      </c>
      <c r="X1480" s="1">
        <v>0</v>
      </c>
      <c r="Y1480" s="1">
        <v>0</v>
      </c>
      <c r="Z1480" s="1">
        <v>0</v>
      </c>
      <c r="AA1480" s="1">
        <v>0</v>
      </c>
      <c r="AB1480" s="1">
        <v>0</v>
      </c>
      <c r="AC1480" s="1">
        <v>0</v>
      </c>
      <c r="AD1480" s="1">
        <v>0</v>
      </c>
    </row>
    <row r="1481" spans="1:30" s="20" customFormat="1" ht="36" customHeight="1" x14ac:dyDescent="0.25">
      <c r="A1481" s="2">
        <f t="shared" si="795"/>
        <v>1426</v>
      </c>
      <c r="B1481" s="6">
        <f t="shared" si="792"/>
        <v>1426</v>
      </c>
      <c r="C1481" s="19" t="s">
        <v>187</v>
      </c>
      <c r="D1481" s="4">
        <f t="shared" si="793"/>
        <v>7467706.3999999994</v>
      </c>
      <c r="E1481" s="1">
        <f t="shared" si="796"/>
        <v>7417706.3999999994</v>
      </c>
      <c r="F1481" s="1">
        <f>804*2211.6</f>
        <v>1778126.4</v>
      </c>
      <c r="G1481" s="1">
        <f>1693*2211.6</f>
        <v>3744238.8</v>
      </c>
      <c r="H1481" s="1">
        <f>390*2211.6</f>
        <v>862524</v>
      </c>
      <c r="I1481" s="1">
        <v>0</v>
      </c>
      <c r="J1481" s="1">
        <f>467*2211.6</f>
        <v>1032817.2</v>
      </c>
      <c r="K1481" s="1">
        <v>0</v>
      </c>
      <c r="L1481" s="2">
        <v>0</v>
      </c>
      <c r="M1481" s="1">
        <v>0</v>
      </c>
      <c r="N1481" s="1">
        <v>0</v>
      </c>
      <c r="O1481" s="1">
        <v>0</v>
      </c>
      <c r="P1481" s="1">
        <v>0</v>
      </c>
      <c r="Q1481" s="1">
        <f t="shared" ref="Q1481:Q1519" si="799">P1481*1400</f>
        <v>0</v>
      </c>
      <c r="R1481" s="1">
        <v>0</v>
      </c>
      <c r="S1481" s="1">
        <f t="shared" si="798"/>
        <v>0</v>
      </c>
      <c r="T1481" s="1">
        <v>0</v>
      </c>
      <c r="U1481" s="1">
        <v>50000</v>
      </c>
      <c r="V1481" s="1">
        <v>0</v>
      </c>
      <c r="W1481" s="1">
        <v>0</v>
      </c>
      <c r="X1481" s="1">
        <v>0</v>
      </c>
      <c r="Y1481" s="1">
        <v>0</v>
      </c>
      <c r="Z1481" s="1">
        <v>0</v>
      </c>
      <c r="AA1481" s="1">
        <v>0</v>
      </c>
      <c r="AB1481" s="1">
        <v>0</v>
      </c>
      <c r="AC1481" s="1">
        <v>0</v>
      </c>
      <c r="AD1481" s="1">
        <v>0</v>
      </c>
    </row>
    <row r="1482" spans="1:30" s="20" customFormat="1" ht="36" customHeight="1" x14ac:dyDescent="0.25">
      <c r="A1482" s="2">
        <f t="shared" si="795"/>
        <v>1427</v>
      </c>
      <c r="B1482" s="6">
        <f t="shared" si="792"/>
        <v>1427</v>
      </c>
      <c r="C1482" s="19" t="s">
        <v>188</v>
      </c>
      <c r="D1482" s="4">
        <f t="shared" si="793"/>
        <v>16743902.5</v>
      </c>
      <c r="E1482" s="1">
        <f t="shared" si="796"/>
        <v>10586902.5</v>
      </c>
      <c r="F1482" s="1">
        <f>804*2697.3</f>
        <v>2168629.2000000002</v>
      </c>
      <c r="G1482" s="1">
        <f>1693*2697.3</f>
        <v>4566528.9000000004</v>
      </c>
      <c r="H1482" s="1">
        <f>390*2697.3</f>
        <v>1051947</v>
      </c>
      <c r="I1482" s="1">
        <f>571*2697.3</f>
        <v>1540158.3</v>
      </c>
      <c r="J1482" s="1">
        <f>467*2697.3</f>
        <v>1259639.1000000001</v>
      </c>
      <c r="K1482" s="1">
        <v>0</v>
      </c>
      <c r="L1482" s="2">
        <v>0</v>
      </c>
      <c r="M1482" s="1">
        <v>0</v>
      </c>
      <c r="N1482" s="1">
        <v>788</v>
      </c>
      <c r="O1482" s="1">
        <f>N1482*7750</f>
        <v>6107000</v>
      </c>
      <c r="P1482" s="1">
        <v>0</v>
      </c>
      <c r="Q1482" s="1">
        <f t="shared" si="799"/>
        <v>0</v>
      </c>
      <c r="R1482" s="1">
        <v>0</v>
      </c>
      <c r="S1482" s="1">
        <f t="shared" si="798"/>
        <v>0</v>
      </c>
      <c r="T1482" s="1">
        <v>0</v>
      </c>
      <c r="U1482" s="1">
        <v>50000</v>
      </c>
      <c r="V1482" s="1">
        <v>0</v>
      </c>
      <c r="W1482" s="1">
        <v>0</v>
      </c>
      <c r="X1482" s="1">
        <v>0</v>
      </c>
      <c r="Y1482" s="1">
        <v>0</v>
      </c>
      <c r="Z1482" s="1">
        <v>0</v>
      </c>
      <c r="AA1482" s="1">
        <v>0</v>
      </c>
      <c r="AB1482" s="1">
        <v>0</v>
      </c>
      <c r="AC1482" s="1">
        <v>0</v>
      </c>
      <c r="AD1482" s="1">
        <v>0</v>
      </c>
    </row>
    <row r="1483" spans="1:30" s="20" customFormat="1" ht="35.25" customHeight="1" x14ac:dyDescent="0.25">
      <c r="A1483" s="2">
        <f t="shared" si="795"/>
        <v>1428</v>
      </c>
      <c r="B1483" s="6">
        <f>A1483</f>
        <v>1428</v>
      </c>
      <c r="C1483" s="19" t="s">
        <v>1864</v>
      </c>
      <c r="D1483" s="8">
        <f t="shared" si="793"/>
        <v>14200000</v>
      </c>
      <c r="E1483" s="1">
        <f>SUM(F1483:K1483)</f>
        <v>0</v>
      </c>
      <c r="F1483" s="1">
        <v>0</v>
      </c>
      <c r="G1483" s="1">
        <v>0</v>
      </c>
      <c r="H1483" s="1">
        <v>0</v>
      </c>
      <c r="I1483" s="1">
        <v>0</v>
      </c>
      <c r="J1483" s="1">
        <v>0</v>
      </c>
      <c r="K1483" s="1">
        <v>0</v>
      </c>
      <c r="L1483" s="2">
        <v>4</v>
      </c>
      <c r="M1483" s="1">
        <f>L1483*3500000</f>
        <v>14000000</v>
      </c>
      <c r="N1483" s="1">
        <v>0</v>
      </c>
      <c r="O1483" s="1">
        <v>0</v>
      </c>
      <c r="P1483" s="1">
        <v>0</v>
      </c>
      <c r="Q1483" s="1">
        <f>1400*P1483</f>
        <v>0</v>
      </c>
      <c r="R1483" s="1">
        <v>0</v>
      </c>
      <c r="S1483" s="1">
        <f>R1483*3751</f>
        <v>0</v>
      </c>
      <c r="T1483" s="1">
        <v>0</v>
      </c>
      <c r="U1483" s="1">
        <v>200000</v>
      </c>
      <c r="V1483" s="1">
        <v>0</v>
      </c>
      <c r="W1483" s="1">
        <v>0</v>
      </c>
      <c r="X1483" s="1">
        <v>0</v>
      </c>
      <c r="Y1483" s="1">
        <v>0</v>
      </c>
      <c r="Z1483" s="1">
        <v>0</v>
      </c>
      <c r="AA1483" s="1">
        <v>0</v>
      </c>
      <c r="AB1483" s="1">
        <v>0</v>
      </c>
      <c r="AC1483" s="1">
        <v>0</v>
      </c>
      <c r="AD1483" s="1">
        <v>0</v>
      </c>
    </row>
    <row r="1484" spans="1:30" s="20" customFormat="1" ht="36" customHeight="1" x14ac:dyDescent="0.25">
      <c r="A1484" s="2">
        <f t="shared" si="795"/>
        <v>1429</v>
      </c>
      <c r="B1484" s="6">
        <f t="shared" si="792"/>
        <v>1429</v>
      </c>
      <c r="C1484" s="19" t="s">
        <v>795</v>
      </c>
      <c r="D1484" s="4">
        <f t="shared" si="793"/>
        <v>16024176.600000001</v>
      </c>
      <c r="E1484" s="1">
        <f t="shared" si="796"/>
        <v>6821029.8000000007</v>
      </c>
      <c r="F1484" s="1">
        <f>804*2033.7</f>
        <v>1635094.8</v>
      </c>
      <c r="G1484" s="1">
        <f>1693*2033.7</f>
        <v>3443054.1</v>
      </c>
      <c r="H1484" s="1">
        <f>390*2033.7</f>
        <v>793143</v>
      </c>
      <c r="I1484" s="1">
        <v>0</v>
      </c>
      <c r="J1484" s="1">
        <f>467*2033.7</f>
        <v>949737.9</v>
      </c>
      <c r="K1484" s="1">
        <v>0</v>
      </c>
      <c r="L1484" s="2">
        <v>0</v>
      </c>
      <c r="M1484" s="1">
        <v>0</v>
      </c>
      <c r="N1484" s="1">
        <v>868</v>
      </c>
      <c r="O1484" s="1">
        <f>N1484*7750</f>
        <v>6727000</v>
      </c>
      <c r="P1484" s="1">
        <v>0</v>
      </c>
      <c r="Q1484" s="1">
        <f t="shared" si="799"/>
        <v>0</v>
      </c>
      <c r="R1484" s="1">
        <v>646.79999999999995</v>
      </c>
      <c r="S1484" s="1">
        <f t="shared" si="798"/>
        <v>2426146.7999999998</v>
      </c>
      <c r="T1484" s="1">
        <v>0</v>
      </c>
      <c r="U1484" s="1">
        <v>50000</v>
      </c>
      <c r="V1484" s="1">
        <v>0</v>
      </c>
      <c r="W1484" s="1">
        <v>0</v>
      </c>
      <c r="X1484" s="1">
        <v>0</v>
      </c>
      <c r="Y1484" s="1">
        <v>0</v>
      </c>
      <c r="Z1484" s="1">
        <v>0</v>
      </c>
      <c r="AA1484" s="1">
        <v>0</v>
      </c>
      <c r="AB1484" s="1">
        <v>0</v>
      </c>
      <c r="AC1484" s="1">
        <v>0</v>
      </c>
      <c r="AD1484" s="1">
        <v>0</v>
      </c>
    </row>
    <row r="1485" spans="1:30" s="20" customFormat="1" ht="36" customHeight="1" x14ac:dyDescent="0.25">
      <c r="A1485" s="2">
        <f t="shared" si="795"/>
        <v>1430</v>
      </c>
      <c r="B1485" s="6">
        <f t="shared" si="792"/>
        <v>1430</v>
      </c>
      <c r="C1485" s="19" t="s">
        <v>796</v>
      </c>
      <c r="D1485" s="4">
        <f t="shared" si="793"/>
        <v>16530571.599999998</v>
      </c>
      <c r="E1485" s="1">
        <f t="shared" si="796"/>
        <v>7277173.7999999989</v>
      </c>
      <c r="F1485" s="1">
        <f>804*2169.7</f>
        <v>1744438.7999999998</v>
      </c>
      <c r="G1485" s="1">
        <f>1693*2169.7</f>
        <v>3673302.0999999996</v>
      </c>
      <c r="H1485" s="1">
        <f>390*2169.7</f>
        <v>846182.99999999988</v>
      </c>
      <c r="I1485" s="1">
        <v>0</v>
      </c>
      <c r="J1485" s="1">
        <f>467*2169.7</f>
        <v>1013249.8999999999</v>
      </c>
      <c r="K1485" s="1">
        <v>0</v>
      </c>
      <c r="L1485" s="2">
        <v>0</v>
      </c>
      <c r="M1485" s="1">
        <v>0</v>
      </c>
      <c r="N1485" s="1">
        <v>874</v>
      </c>
      <c r="O1485" s="1">
        <f>N1485*7750</f>
        <v>6773500</v>
      </c>
      <c r="P1485" s="1">
        <v>0</v>
      </c>
      <c r="Q1485" s="1">
        <f t="shared" si="799"/>
        <v>0</v>
      </c>
      <c r="R1485" s="1">
        <v>647.79999999999995</v>
      </c>
      <c r="S1485" s="1">
        <f t="shared" si="798"/>
        <v>2429897.7999999998</v>
      </c>
      <c r="T1485" s="1">
        <v>0</v>
      </c>
      <c r="U1485" s="1">
        <v>50000</v>
      </c>
      <c r="V1485" s="1">
        <v>0</v>
      </c>
      <c r="W1485" s="1">
        <v>0</v>
      </c>
      <c r="X1485" s="1">
        <v>0</v>
      </c>
      <c r="Y1485" s="1">
        <v>0</v>
      </c>
      <c r="Z1485" s="1">
        <v>0</v>
      </c>
      <c r="AA1485" s="1">
        <v>0</v>
      </c>
      <c r="AB1485" s="1">
        <v>0</v>
      </c>
      <c r="AC1485" s="1">
        <v>0</v>
      </c>
      <c r="AD1485" s="1">
        <v>0</v>
      </c>
    </row>
    <row r="1486" spans="1:30" s="20" customFormat="1" ht="36" customHeight="1" x14ac:dyDescent="0.25">
      <c r="A1486" s="2">
        <f t="shared" si="795"/>
        <v>1431</v>
      </c>
      <c r="B1486" s="6">
        <f t="shared" si="792"/>
        <v>1431</v>
      </c>
      <c r="C1486" s="19" t="s">
        <v>195</v>
      </c>
      <c r="D1486" s="4">
        <f t="shared" si="793"/>
        <v>7920500.6000000006</v>
      </c>
      <c r="E1486" s="1">
        <f t="shared" si="796"/>
        <v>5439852.6000000006</v>
      </c>
      <c r="F1486" s="1">
        <f>804*1621.9</f>
        <v>1304007.6000000001</v>
      </c>
      <c r="G1486" s="1">
        <f>1693*1621.9</f>
        <v>2745876.7</v>
      </c>
      <c r="H1486" s="1">
        <f>390*1621.9</f>
        <v>632541</v>
      </c>
      <c r="I1486" s="1">
        <v>0</v>
      </c>
      <c r="J1486" s="1">
        <f>467*1621.9</f>
        <v>757427.3</v>
      </c>
      <c r="K1486" s="1">
        <v>0</v>
      </c>
      <c r="L1486" s="2">
        <v>0</v>
      </c>
      <c r="M1486" s="1">
        <v>0</v>
      </c>
      <c r="N1486" s="1">
        <v>0</v>
      </c>
      <c r="O1486" s="1">
        <v>0</v>
      </c>
      <c r="P1486" s="1">
        <v>0</v>
      </c>
      <c r="Q1486" s="1">
        <f t="shared" si="799"/>
        <v>0</v>
      </c>
      <c r="R1486" s="1">
        <v>648</v>
      </c>
      <c r="S1486" s="1">
        <f t="shared" ref="S1486:S1497" si="800">R1486*3751</f>
        <v>2430648</v>
      </c>
      <c r="T1486" s="1">
        <v>0</v>
      </c>
      <c r="U1486" s="1">
        <v>50000</v>
      </c>
      <c r="V1486" s="1">
        <v>0</v>
      </c>
      <c r="W1486" s="1">
        <v>0</v>
      </c>
      <c r="X1486" s="1">
        <v>0</v>
      </c>
      <c r="Y1486" s="1">
        <v>0</v>
      </c>
      <c r="Z1486" s="1">
        <v>0</v>
      </c>
      <c r="AA1486" s="1">
        <v>0</v>
      </c>
      <c r="AB1486" s="1">
        <v>0</v>
      </c>
      <c r="AC1486" s="1">
        <v>0</v>
      </c>
      <c r="AD1486" s="1">
        <v>0</v>
      </c>
    </row>
    <row r="1487" spans="1:30" s="20" customFormat="1" ht="36" customHeight="1" x14ac:dyDescent="0.25">
      <c r="A1487" s="2">
        <f t="shared" si="795"/>
        <v>1432</v>
      </c>
      <c r="B1487" s="6">
        <f t="shared" si="792"/>
        <v>1432</v>
      </c>
      <c r="C1487" s="19" t="s">
        <v>196</v>
      </c>
      <c r="D1487" s="4">
        <f t="shared" si="793"/>
        <v>15784436</v>
      </c>
      <c r="E1487" s="1">
        <f t="shared" si="796"/>
        <v>6443736</v>
      </c>
      <c r="F1487" s="1">
        <f>804*2174</f>
        <v>1747896</v>
      </c>
      <c r="G1487" s="1">
        <f>1693*2174</f>
        <v>3680582</v>
      </c>
      <c r="H1487" s="1">
        <v>0</v>
      </c>
      <c r="I1487" s="1">
        <v>0</v>
      </c>
      <c r="J1487" s="1">
        <f>467*2174</f>
        <v>1015258</v>
      </c>
      <c r="K1487" s="1">
        <v>0</v>
      </c>
      <c r="L1487" s="2">
        <v>0</v>
      </c>
      <c r="M1487" s="1">
        <v>0</v>
      </c>
      <c r="N1487" s="1">
        <v>860</v>
      </c>
      <c r="O1487" s="1">
        <f>N1487*7750</f>
        <v>6665000</v>
      </c>
      <c r="P1487" s="1">
        <v>0</v>
      </c>
      <c r="Q1487" s="1">
        <f t="shared" si="799"/>
        <v>0</v>
      </c>
      <c r="R1487" s="1">
        <v>700</v>
      </c>
      <c r="S1487" s="1">
        <f t="shared" si="800"/>
        <v>2625700</v>
      </c>
      <c r="T1487" s="1">
        <v>0</v>
      </c>
      <c r="U1487" s="1">
        <v>50000</v>
      </c>
      <c r="V1487" s="1">
        <v>0</v>
      </c>
      <c r="W1487" s="1">
        <v>0</v>
      </c>
      <c r="X1487" s="1">
        <v>0</v>
      </c>
      <c r="Y1487" s="1">
        <v>0</v>
      </c>
      <c r="Z1487" s="1">
        <v>0</v>
      </c>
      <c r="AA1487" s="1">
        <v>0</v>
      </c>
      <c r="AB1487" s="1">
        <v>0</v>
      </c>
      <c r="AC1487" s="1">
        <v>0</v>
      </c>
      <c r="AD1487" s="1">
        <v>0</v>
      </c>
    </row>
    <row r="1488" spans="1:30" s="20" customFormat="1" ht="36" customHeight="1" x14ac:dyDescent="0.25">
      <c r="A1488" s="2">
        <f t="shared" si="795"/>
        <v>1433</v>
      </c>
      <c r="B1488" s="6">
        <f t="shared" si="792"/>
        <v>1433</v>
      </c>
      <c r="C1488" s="19" t="s">
        <v>197</v>
      </c>
      <c r="D1488" s="4">
        <f t="shared" si="793"/>
        <v>16347162.360000001</v>
      </c>
      <c r="E1488" s="1">
        <f t="shared" si="796"/>
        <v>7072915.2000000011</v>
      </c>
      <c r="F1488" s="1">
        <f>804*2108.8</f>
        <v>1695475.2000000002</v>
      </c>
      <c r="G1488" s="1">
        <f>1693*2108.8</f>
        <v>3570198.4000000004</v>
      </c>
      <c r="H1488" s="1">
        <f>390*2108.8</f>
        <v>822432.00000000012</v>
      </c>
      <c r="I1488" s="1"/>
      <c r="J1488" s="1">
        <f>467*2108.8</f>
        <v>984809.60000000009</v>
      </c>
      <c r="K1488" s="1">
        <v>0</v>
      </c>
      <c r="L1488" s="2">
        <v>0</v>
      </c>
      <c r="M1488" s="1">
        <v>0</v>
      </c>
      <c r="N1488" s="1">
        <v>877</v>
      </c>
      <c r="O1488" s="1">
        <f>N1488*7750</f>
        <v>6796750</v>
      </c>
      <c r="P1488" s="1">
        <v>0</v>
      </c>
      <c r="Q1488" s="1">
        <f t="shared" si="799"/>
        <v>0</v>
      </c>
      <c r="R1488" s="1">
        <v>647.16</v>
      </c>
      <c r="S1488" s="1">
        <f t="shared" si="800"/>
        <v>2427497.1599999997</v>
      </c>
      <c r="T1488" s="1">
        <v>0</v>
      </c>
      <c r="U1488" s="1">
        <v>50000</v>
      </c>
      <c r="V1488" s="1">
        <v>0</v>
      </c>
      <c r="W1488" s="1">
        <v>0</v>
      </c>
      <c r="X1488" s="1">
        <v>0</v>
      </c>
      <c r="Y1488" s="1">
        <v>0</v>
      </c>
      <c r="Z1488" s="1">
        <v>0</v>
      </c>
      <c r="AA1488" s="1">
        <v>0</v>
      </c>
      <c r="AB1488" s="1">
        <v>0</v>
      </c>
      <c r="AC1488" s="1">
        <v>0</v>
      </c>
      <c r="AD1488" s="1">
        <v>0</v>
      </c>
    </row>
    <row r="1489" spans="1:30" s="20" customFormat="1" ht="36" customHeight="1" x14ac:dyDescent="0.25">
      <c r="A1489" s="2">
        <f t="shared" si="795"/>
        <v>1434</v>
      </c>
      <c r="B1489" s="6">
        <f>A1489</f>
        <v>1434</v>
      </c>
      <c r="C1489" s="19" t="s">
        <v>797</v>
      </c>
      <c r="D1489" s="4">
        <f t="shared" si="793"/>
        <v>16058879</v>
      </c>
      <c r="E1489" s="1">
        <f>SUM(F1489:K1489)</f>
        <v>7040982</v>
      </c>
      <c r="F1489" s="1">
        <f>804*2375.5</f>
        <v>1909902</v>
      </c>
      <c r="G1489" s="1">
        <f>1693*2375.5</f>
        <v>4021721.5</v>
      </c>
      <c r="H1489" s="1">
        <v>0</v>
      </c>
      <c r="I1489" s="1">
        <v>0</v>
      </c>
      <c r="J1489" s="1">
        <f>467*2375.5</f>
        <v>1109358.5</v>
      </c>
      <c r="K1489" s="1">
        <v>0</v>
      </c>
      <c r="L1489" s="2">
        <v>0</v>
      </c>
      <c r="M1489" s="1">
        <v>0</v>
      </c>
      <c r="N1489" s="1">
        <v>844</v>
      </c>
      <c r="O1489" s="1">
        <f>N1489*7750</f>
        <v>6541000</v>
      </c>
      <c r="P1489" s="1">
        <v>0</v>
      </c>
      <c r="Q1489" s="1">
        <f>P1489*1400</f>
        <v>0</v>
      </c>
      <c r="R1489" s="1">
        <v>647</v>
      </c>
      <c r="S1489" s="1">
        <f>R1489*3751</f>
        <v>2426897</v>
      </c>
      <c r="T1489" s="1">
        <v>0</v>
      </c>
      <c r="U1489" s="1">
        <v>50000</v>
      </c>
      <c r="V1489" s="1">
        <v>0</v>
      </c>
      <c r="W1489" s="1">
        <v>0</v>
      </c>
      <c r="X1489" s="1">
        <v>0</v>
      </c>
      <c r="Y1489" s="1">
        <v>0</v>
      </c>
      <c r="Z1489" s="1">
        <v>0</v>
      </c>
      <c r="AA1489" s="1">
        <v>0</v>
      </c>
      <c r="AB1489" s="1">
        <v>0</v>
      </c>
      <c r="AC1489" s="1">
        <v>0</v>
      </c>
      <c r="AD1489" s="1">
        <v>0</v>
      </c>
    </row>
    <row r="1490" spans="1:30" s="20" customFormat="1" ht="36" customHeight="1" x14ac:dyDescent="0.25">
      <c r="A1490" s="2">
        <f t="shared" si="795"/>
        <v>1435</v>
      </c>
      <c r="B1490" s="6">
        <f t="shared" si="792"/>
        <v>1435</v>
      </c>
      <c r="C1490" s="19" t="s">
        <v>1642</v>
      </c>
      <c r="D1490" s="4">
        <f t="shared" si="793"/>
        <v>15896653</v>
      </c>
      <c r="E1490" s="1">
        <f t="shared" si="796"/>
        <v>11720553</v>
      </c>
      <c r="F1490" s="1">
        <f>804*3494.5</f>
        <v>2809578</v>
      </c>
      <c r="G1490" s="1">
        <f>1693*3494.5</f>
        <v>5916188.5</v>
      </c>
      <c r="H1490" s="1">
        <f>390*3494.5</f>
        <v>1362855</v>
      </c>
      <c r="I1490" s="1">
        <v>0</v>
      </c>
      <c r="J1490" s="1">
        <f>467*3494.5</f>
        <v>1631931.5</v>
      </c>
      <c r="K1490" s="1">
        <v>0</v>
      </c>
      <c r="L1490" s="2">
        <v>0</v>
      </c>
      <c r="M1490" s="1">
        <v>0</v>
      </c>
      <c r="N1490" s="1">
        <v>0</v>
      </c>
      <c r="O1490" s="1">
        <v>0</v>
      </c>
      <c r="P1490" s="1">
        <v>0</v>
      </c>
      <c r="Q1490" s="1">
        <f t="shared" si="799"/>
        <v>0</v>
      </c>
      <c r="R1490" s="1">
        <v>1100</v>
      </c>
      <c r="S1490" s="1">
        <f t="shared" si="800"/>
        <v>4126100</v>
      </c>
      <c r="T1490" s="1">
        <v>0</v>
      </c>
      <c r="U1490" s="1">
        <v>50000</v>
      </c>
      <c r="V1490" s="1">
        <v>0</v>
      </c>
      <c r="W1490" s="1">
        <v>0</v>
      </c>
      <c r="X1490" s="1">
        <v>0</v>
      </c>
      <c r="Y1490" s="1">
        <v>0</v>
      </c>
      <c r="Z1490" s="1">
        <v>0</v>
      </c>
      <c r="AA1490" s="1">
        <v>0</v>
      </c>
      <c r="AB1490" s="1">
        <v>0</v>
      </c>
      <c r="AC1490" s="1">
        <v>0</v>
      </c>
      <c r="AD1490" s="1">
        <v>0</v>
      </c>
    </row>
    <row r="1491" spans="1:30" s="20" customFormat="1" ht="36" customHeight="1" x14ac:dyDescent="0.25">
      <c r="A1491" s="2">
        <f t="shared" si="795"/>
        <v>1436</v>
      </c>
      <c r="B1491" s="6">
        <f t="shared" ref="B1491:B1498" si="801">A1491</f>
        <v>1436</v>
      </c>
      <c r="C1491" s="19" t="s">
        <v>199</v>
      </c>
      <c r="D1491" s="4">
        <f t="shared" si="793"/>
        <v>16462059.799999999</v>
      </c>
      <c r="E1491" s="1">
        <f t="shared" si="796"/>
        <v>7099411.7999999989</v>
      </c>
      <c r="F1491" s="1">
        <f>804*2116.7</f>
        <v>1701826.7999999998</v>
      </c>
      <c r="G1491" s="1">
        <f>1693*2116.7</f>
        <v>3583573.0999999996</v>
      </c>
      <c r="H1491" s="1">
        <f>390*2116.7</f>
        <v>825512.99999999988</v>
      </c>
      <c r="I1491" s="1">
        <v>0</v>
      </c>
      <c r="J1491" s="1">
        <f>467*2116.7</f>
        <v>988498.89999999991</v>
      </c>
      <c r="K1491" s="1">
        <v>0</v>
      </c>
      <c r="L1491" s="2">
        <v>0</v>
      </c>
      <c r="M1491" s="1">
        <v>0</v>
      </c>
      <c r="N1491" s="1">
        <v>888</v>
      </c>
      <c r="O1491" s="1">
        <f t="shared" ref="O1491:O1500" si="802">N1491*7750</f>
        <v>6882000</v>
      </c>
      <c r="P1491" s="1">
        <v>0</v>
      </c>
      <c r="Q1491" s="1">
        <f t="shared" si="799"/>
        <v>0</v>
      </c>
      <c r="R1491" s="1">
        <v>648</v>
      </c>
      <c r="S1491" s="1">
        <f t="shared" si="800"/>
        <v>2430648</v>
      </c>
      <c r="T1491" s="1">
        <v>0</v>
      </c>
      <c r="U1491" s="1">
        <v>50000</v>
      </c>
      <c r="V1491" s="1">
        <v>0</v>
      </c>
      <c r="W1491" s="1">
        <v>0</v>
      </c>
      <c r="X1491" s="1">
        <v>0</v>
      </c>
      <c r="Y1491" s="1">
        <v>0</v>
      </c>
      <c r="Z1491" s="1">
        <v>0</v>
      </c>
      <c r="AA1491" s="1">
        <v>0</v>
      </c>
      <c r="AB1491" s="1">
        <v>0</v>
      </c>
      <c r="AC1491" s="1">
        <v>0</v>
      </c>
      <c r="AD1491" s="1">
        <v>0</v>
      </c>
    </row>
    <row r="1492" spans="1:30" s="20" customFormat="1" ht="36" customHeight="1" x14ac:dyDescent="0.25">
      <c r="A1492" s="2">
        <f t="shared" si="795"/>
        <v>1437</v>
      </c>
      <c r="B1492" s="6">
        <f t="shared" si="801"/>
        <v>1437</v>
      </c>
      <c r="C1492" s="19" t="s">
        <v>201</v>
      </c>
      <c r="D1492" s="4">
        <f t="shared" si="793"/>
        <v>17435820.799999997</v>
      </c>
      <c r="E1492" s="1">
        <f t="shared" si="796"/>
        <v>7127920.7999999989</v>
      </c>
      <c r="F1492" s="1">
        <f>804*2125.2</f>
        <v>1708660.7999999998</v>
      </c>
      <c r="G1492" s="1">
        <f>1693*2125.2</f>
        <v>3597963.5999999996</v>
      </c>
      <c r="H1492" s="1">
        <f>390*2125.2</f>
        <v>828827.99999999988</v>
      </c>
      <c r="I1492" s="1">
        <v>0</v>
      </c>
      <c r="J1492" s="1">
        <f>467*2125.2</f>
        <v>992468.39999999991</v>
      </c>
      <c r="K1492" s="1">
        <v>0</v>
      </c>
      <c r="L1492" s="2">
        <v>0</v>
      </c>
      <c r="M1492" s="1">
        <v>0</v>
      </c>
      <c r="N1492" s="1">
        <v>888</v>
      </c>
      <c r="O1492" s="1">
        <f t="shared" si="802"/>
        <v>6882000</v>
      </c>
      <c r="P1492" s="1">
        <v>0</v>
      </c>
      <c r="Q1492" s="1">
        <f t="shared" si="799"/>
        <v>0</v>
      </c>
      <c r="R1492" s="1">
        <v>900</v>
      </c>
      <c r="S1492" s="1">
        <f t="shared" si="800"/>
        <v>3375900</v>
      </c>
      <c r="T1492" s="1">
        <v>0</v>
      </c>
      <c r="U1492" s="1">
        <v>50000</v>
      </c>
      <c r="V1492" s="1">
        <v>0</v>
      </c>
      <c r="W1492" s="1">
        <v>0</v>
      </c>
      <c r="X1492" s="1">
        <v>0</v>
      </c>
      <c r="Y1492" s="1">
        <v>0</v>
      </c>
      <c r="Z1492" s="1">
        <v>0</v>
      </c>
      <c r="AA1492" s="1">
        <v>0</v>
      </c>
      <c r="AB1492" s="1">
        <v>0</v>
      </c>
      <c r="AC1492" s="1">
        <v>0</v>
      </c>
      <c r="AD1492" s="1">
        <v>0</v>
      </c>
    </row>
    <row r="1493" spans="1:30" s="20" customFormat="1" ht="36" customHeight="1" x14ac:dyDescent="0.25">
      <c r="A1493" s="2">
        <f t="shared" si="795"/>
        <v>1438</v>
      </c>
      <c r="B1493" s="6">
        <f t="shared" si="801"/>
        <v>1438</v>
      </c>
      <c r="C1493" s="19" t="s">
        <v>798</v>
      </c>
      <c r="D1493" s="4">
        <f t="shared" si="793"/>
        <v>17626663.399999999</v>
      </c>
      <c r="E1493" s="1">
        <f t="shared" si="796"/>
        <v>7318763.3999999994</v>
      </c>
      <c r="F1493" s="1">
        <f>804*2182.1</f>
        <v>1754408.4</v>
      </c>
      <c r="G1493" s="1">
        <f>1693*2182.1</f>
        <v>3694295.3</v>
      </c>
      <c r="H1493" s="1">
        <f>390*2182.1</f>
        <v>851019</v>
      </c>
      <c r="I1493" s="1">
        <v>0</v>
      </c>
      <c r="J1493" s="1">
        <f>467*2182.1</f>
        <v>1019040.7</v>
      </c>
      <c r="K1493" s="1">
        <v>0</v>
      </c>
      <c r="L1493" s="2">
        <v>0</v>
      </c>
      <c r="M1493" s="1">
        <v>0</v>
      </c>
      <c r="N1493" s="1">
        <v>888</v>
      </c>
      <c r="O1493" s="1">
        <f t="shared" si="802"/>
        <v>6882000</v>
      </c>
      <c r="P1493" s="1">
        <v>0</v>
      </c>
      <c r="Q1493" s="1">
        <f t="shared" si="799"/>
        <v>0</v>
      </c>
      <c r="R1493" s="1">
        <v>900</v>
      </c>
      <c r="S1493" s="1">
        <f t="shared" si="800"/>
        <v>3375900</v>
      </c>
      <c r="T1493" s="1">
        <v>0</v>
      </c>
      <c r="U1493" s="1">
        <v>50000</v>
      </c>
      <c r="V1493" s="1">
        <v>0</v>
      </c>
      <c r="W1493" s="1">
        <v>0</v>
      </c>
      <c r="X1493" s="1">
        <v>0</v>
      </c>
      <c r="Y1493" s="1">
        <v>0</v>
      </c>
      <c r="Z1493" s="1">
        <v>0</v>
      </c>
      <c r="AA1493" s="1">
        <v>0</v>
      </c>
      <c r="AB1493" s="1">
        <v>0</v>
      </c>
      <c r="AC1493" s="1">
        <v>0</v>
      </c>
      <c r="AD1493" s="1">
        <v>0</v>
      </c>
    </row>
    <row r="1494" spans="1:30" s="20" customFormat="1" ht="36" customHeight="1" x14ac:dyDescent="0.25">
      <c r="A1494" s="2">
        <f t="shared" si="795"/>
        <v>1439</v>
      </c>
      <c r="B1494" s="6">
        <f t="shared" si="801"/>
        <v>1439</v>
      </c>
      <c r="C1494" s="19" t="s">
        <v>202</v>
      </c>
      <c r="D1494" s="4">
        <f t="shared" si="793"/>
        <v>8711305</v>
      </c>
      <c r="E1494" s="1">
        <f t="shared" ref="E1494:E1496" si="803">SUM(F1494:K1494)</f>
        <v>2216994</v>
      </c>
      <c r="F1494" s="1">
        <f>804*661</f>
        <v>531444</v>
      </c>
      <c r="G1494" s="1">
        <f>1693*661</f>
        <v>1119073</v>
      </c>
      <c r="H1494" s="1">
        <f>390*661</f>
        <v>257790</v>
      </c>
      <c r="I1494" s="1">
        <v>0</v>
      </c>
      <c r="J1494" s="1">
        <f>467*661</f>
        <v>308687</v>
      </c>
      <c r="K1494" s="1">
        <v>0</v>
      </c>
      <c r="L1494" s="2">
        <v>0</v>
      </c>
      <c r="M1494" s="1">
        <v>0</v>
      </c>
      <c r="N1494" s="1">
        <v>560</v>
      </c>
      <c r="O1494" s="1">
        <f t="shared" ref="O1494:O1496" si="804">N1494*7750</f>
        <v>4340000</v>
      </c>
      <c r="P1494" s="1">
        <v>0</v>
      </c>
      <c r="Q1494" s="1">
        <f t="shared" ref="Q1494:Q1496" si="805">P1494*1400</f>
        <v>0</v>
      </c>
      <c r="R1494" s="1">
        <v>561</v>
      </c>
      <c r="S1494" s="1">
        <f t="shared" ref="S1494:S1496" si="806">R1494*3751</f>
        <v>2104311</v>
      </c>
      <c r="T1494" s="1">
        <v>0</v>
      </c>
      <c r="U1494" s="1">
        <v>50000</v>
      </c>
      <c r="V1494" s="1">
        <v>0</v>
      </c>
      <c r="W1494" s="1">
        <v>0</v>
      </c>
      <c r="X1494" s="1">
        <v>0</v>
      </c>
      <c r="Y1494" s="1">
        <v>0</v>
      </c>
      <c r="Z1494" s="1">
        <v>0</v>
      </c>
      <c r="AA1494" s="1">
        <v>0</v>
      </c>
      <c r="AB1494" s="1">
        <v>0</v>
      </c>
      <c r="AC1494" s="1">
        <v>0</v>
      </c>
      <c r="AD1494" s="1">
        <v>0</v>
      </c>
    </row>
    <row r="1495" spans="1:30" s="20" customFormat="1" ht="36" customHeight="1" x14ac:dyDescent="0.25">
      <c r="A1495" s="2">
        <f t="shared" si="795"/>
        <v>1440</v>
      </c>
      <c r="B1495" s="6">
        <f t="shared" si="801"/>
        <v>1440</v>
      </c>
      <c r="C1495" s="19" t="s">
        <v>2137</v>
      </c>
      <c r="D1495" s="4">
        <f t="shared" si="793"/>
        <v>2281080.8000000003</v>
      </c>
      <c r="E1495" s="1">
        <f t="shared" si="803"/>
        <v>2231080.8000000003</v>
      </c>
      <c r="F1495" s="1">
        <f>804*665.2</f>
        <v>534820.80000000005</v>
      </c>
      <c r="G1495" s="1">
        <f>1693*665.2</f>
        <v>1126183.6000000001</v>
      </c>
      <c r="H1495" s="1">
        <f>390*665.2</f>
        <v>259428.00000000003</v>
      </c>
      <c r="I1495" s="1">
        <v>0</v>
      </c>
      <c r="J1495" s="1">
        <f>467*665.2</f>
        <v>310648.40000000002</v>
      </c>
      <c r="K1495" s="1">
        <v>0</v>
      </c>
      <c r="L1495" s="2">
        <v>0</v>
      </c>
      <c r="M1495" s="1">
        <v>0</v>
      </c>
      <c r="N1495" s="1">
        <v>0</v>
      </c>
      <c r="O1495" s="1">
        <f t="shared" si="804"/>
        <v>0</v>
      </c>
      <c r="P1495" s="1">
        <v>0</v>
      </c>
      <c r="Q1495" s="1">
        <f t="shared" si="805"/>
        <v>0</v>
      </c>
      <c r="R1495" s="1">
        <v>0</v>
      </c>
      <c r="S1495" s="1">
        <f t="shared" si="806"/>
        <v>0</v>
      </c>
      <c r="T1495" s="1">
        <v>0</v>
      </c>
      <c r="U1495" s="1">
        <v>50000</v>
      </c>
      <c r="V1495" s="1">
        <v>0</v>
      </c>
      <c r="W1495" s="1">
        <v>0</v>
      </c>
      <c r="X1495" s="1">
        <v>0</v>
      </c>
      <c r="Y1495" s="1">
        <v>0</v>
      </c>
      <c r="Z1495" s="1">
        <v>0</v>
      </c>
      <c r="AA1495" s="1">
        <v>0</v>
      </c>
      <c r="AB1495" s="1">
        <v>0</v>
      </c>
      <c r="AC1495" s="1">
        <v>0</v>
      </c>
      <c r="AD1495" s="1">
        <v>0</v>
      </c>
    </row>
    <row r="1496" spans="1:30" s="20" customFormat="1" ht="36" customHeight="1" x14ac:dyDescent="0.25">
      <c r="A1496" s="2">
        <f t="shared" si="795"/>
        <v>1441</v>
      </c>
      <c r="B1496" s="6">
        <f t="shared" si="801"/>
        <v>1441</v>
      </c>
      <c r="C1496" s="19" t="s">
        <v>2138</v>
      </c>
      <c r="D1496" s="4">
        <f t="shared" si="793"/>
        <v>3057140.8000000003</v>
      </c>
      <c r="E1496" s="1">
        <f t="shared" si="803"/>
        <v>2234434.8000000003</v>
      </c>
      <c r="F1496" s="1">
        <f>804*666.2</f>
        <v>535624.80000000005</v>
      </c>
      <c r="G1496" s="1">
        <f>1693*666.2</f>
        <v>1127876.6000000001</v>
      </c>
      <c r="H1496" s="1">
        <f>390*666.2</f>
        <v>259818.00000000003</v>
      </c>
      <c r="I1496" s="1">
        <v>0</v>
      </c>
      <c r="J1496" s="1">
        <f>467*666.2</f>
        <v>311115.40000000002</v>
      </c>
      <c r="K1496" s="1">
        <v>0</v>
      </c>
      <c r="L1496" s="2">
        <v>0</v>
      </c>
      <c r="M1496" s="1">
        <v>0</v>
      </c>
      <c r="N1496" s="1">
        <v>0</v>
      </c>
      <c r="O1496" s="1">
        <f t="shared" si="804"/>
        <v>0</v>
      </c>
      <c r="P1496" s="1">
        <v>0</v>
      </c>
      <c r="Q1496" s="1">
        <f t="shared" si="805"/>
        <v>0</v>
      </c>
      <c r="R1496" s="1">
        <v>206</v>
      </c>
      <c r="S1496" s="1">
        <f t="shared" si="806"/>
        <v>772706</v>
      </c>
      <c r="T1496" s="1">
        <v>0</v>
      </c>
      <c r="U1496" s="1">
        <v>50000</v>
      </c>
      <c r="V1496" s="1">
        <v>0</v>
      </c>
      <c r="W1496" s="1">
        <v>0</v>
      </c>
      <c r="X1496" s="1">
        <v>0</v>
      </c>
      <c r="Y1496" s="1">
        <v>0</v>
      </c>
      <c r="Z1496" s="1">
        <v>0</v>
      </c>
      <c r="AA1496" s="1">
        <v>0</v>
      </c>
      <c r="AB1496" s="1">
        <v>0</v>
      </c>
      <c r="AC1496" s="1">
        <v>0</v>
      </c>
      <c r="AD1496" s="1">
        <v>0</v>
      </c>
    </row>
    <row r="1497" spans="1:30" s="20" customFormat="1" ht="36" customHeight="1" x14ac:dyDescent="0.25">
      <c r="A1497" s="2">
        <f t="shared" si="795"/>
        <v>1442</v>
      </c>
      <c r="B1497" s="6">
        <f t="shared" si="801"/>
        <v>1442</v>
      </c>
      <c r="C1497" s="19" t="s">
        <v>2139</v>
      </c>
      <c r="D1497" s="4">
        <f t="shared" si="793"/>
        <v>3079948</v>
      </c>
      <c r="E1497" s="1">
        <f t="shared" si="796"/>
        <v>2257242</v>
      </c>
      <c r="F1497" s="1">
        <f>804*673</f>
        <v>541092</v>
      </c>
      <c r="G1497" s="1">
        <f>1693*673</f>
        <v>1139389</v>
      </c>
      <c r="H1497" s="1">
        <f>390*673</f>
        <v>262470</v>
      </c>
      <c r="I1497" s="1">
        <v>0</v>
      </c>
      <c r="J1497" s="1">
        <f>467*673</f>
        <v>314291</v>
      </c>
      <c r="K1497" s="1">
        <v>0</v>
      </c>
      <c r="L1497" s="2">
        <v>0</v>
      </c>
      <c r="M1497" s="1">
        <v>0</v>
      </c>
      <c r="N1497" s="1">
        <v>0</v>
      </c>
      <c r="O1497" s="1">
        <f t="shared" si="802"/>
        <v>0</v>
      </c>
      <c r="P1497" s="1">
        <v>0</v>
      </c>
      <c r="Q1497" s="1">
        <f t="shared" si="799"/>
        <v>0</v>
      </c>
      <c r="R1497" s="1">
        <v>206</v>
      </c>
      <c r="S1497" s="1">
        <f t="shared" si="800"/>
        <v>772706</v>
      </c>
      <c r="T1497" s="1">
        <v>0</v>
      </c>
      <c r="U1497" s="1">
        <v>50000</v>
      </c>
      <c r="V1497" s="1">
        <v>0</v>
      </c>
      <c r="W1497" s="1">
        <v>0</v>
      </c>
      <c r="X1497" s="1">
        <v>0</v>
      </c>
      <c r="Y1497" s="1">
        <v>0</v>
      </c>
      <c r="Z1497" s="1">
        <v>0</v>
      </c>
      <c r="AA1497" s="1">
        <v>0</v>
      </c>
      <c r="AB1497" s="1">
        <v>0</v>
      </c>
      <c r="AC1497" s="1">
        <v>0</v>
      </c>
      <c r="AD1497" s="1">
        <v>0</v>
      </c>
    </row>
    <row r="1498" spans="1:30" s="20" customFormat="1" ht="36" customHeight="1" x14ac:dyDescent="0.25">
      <c r="A1498" s="2">
        <f t="shared" si="795"/>
        <v>1443</v>
      </c>
      <c r="B1498" s="6">
        <f t="shared" si="801"/>
        <v>1443</v>
      </c>
      <c r="C1498" s="19" t="s">
        <v>204</v>
      </c>
      <c r="D1498" s="4">
        <f t="shared" si="793"/>
        <v>3369894.4000000004</v>
      </c>
      <c r="E1498" s="1">
        <f t="shared" si="796"/>
        <v>1118894.4000000001</v>
      </c>
      <c r="F1498" s="1">
        <f>804*333.6</f>
        <v>268214.40000000002</v>
      </c>
      <c r="G1498" s="1">
        <f>1693*333.6</f>
        <v>564784.80000000005</v>
      </c>
      <c r="H1498" s="1">
        <f>390*333.6</f>
        <v>130104.00000000001</v>
      </c>
      <c r="I1498" s="1">
        <v>0</v>
      </c>
      <c r="J1498" s="1">
        <f>467*333.6</f>
        <v>155791.20000000001</v>
      </c>
      <c r="K1498" s="1">
        <v>0</v>
      </c>
      <c r="L1498" s="2">
        <v>0</v>
      </c>
      <c r="M1498" s="1">
        <v>0</v>
      </c>
      <c r="N1498" s="1">
        <v>284</v>
      </c>
      <c r="O1498" s="1">
        <f t="shared" si="802"/>
        <v>2201000</v>
      </c>
      <c r="P1498" s="1">
        <v>0</v>
      </c>
      <c r="Q1498" s="1">
        <f t="shared" si="799"/>
        <v>0</v>
      </c>
      <c r="R1498" s="1">
        <v>0</v>
      </c>
      <c r="S1498" s="1">
        <f t="shared" ref="S1498:S1508" si="807">R1498*3751</f>
        <v>0</v>
      </c>
      <c r="T1498" s="1">
        <v>0</v>
      </c>
      <c r="U1498" s="1">
        <v>50000</v>
      </c>
      <c r="V1498" s="1">
        <v>0</v>
      </c>
      <c r="W1498" s="1">
        <v>0</v>
      </c>
      <c r="X1498" s="1">
        <v>0</v>
      </c>
      <c r="Y1498" s="1">
        <v>0</v>
      </c>
      <c r="Z1498" s="1">
        <v>0</v>
      </c>
      <c r="AA1498" s="1">
        <v>0</v>
      </c>
      <c r="AB1498" s="1">
        <v>0</v>
      </c>
      <c r="AC1498" s="1">
        <v>0</v>
      </c>
      <c r="AD1498" s="1">
        <v>0</v>
      </c>
    </row>
    <row r="1499" spans="1:30" s="20" customFormat="1" ht="36" customHeight="1" x14ac:dyDescent="0.25">
      <c r="A1499" s="2">
        <f t="shared" si="795"/>
        <v>1444</v>
      </c>
      <c r="B1499" s="6">
        <f>A1499</f>
        <v>1444</v>
      </c>
      <c r="C1499" s="19" t="s">
        <v>799</v>
      </c>
      <c r="D1499" s="4">
        <f t="shared" si="793"/>
        <v>29896810.000000004</v>
      </c>
      <c r="E1499" s="1">
        <f>SUM(F1499:K1499)</f>
        <v>19510390.000000004</v>
      </c>
      <c r="F1499" s="1">
        <f>804*4970.8</f>
        <v>3996523.2</v>
      </c>
      <c r="G1499" s="1">
        <f>1693*4970.8</f>
        <v>8415564.4000000004</v>
      </c>
      <c r="H1499" s="1">
        <f>390*4970.8</f>
        <v>1938612</v>
      </c>
      <c r="I1499" s="1">
        <f>571*4970.8</f>
        <v>2838326.8000000003</v>
      </c>
      <c r="J1499" s="1">
        <f>467*4970.8</f>
        <v>2321363.6</v>
      </c>
      <c r="K1499" s="1">
        <v>0</v>
      </c>
      <c r="L1499" s="2">
        <v>0</v>
      </c>
      <c r="M1499" s="1">
        <v>0</v>
      </c>
      <c r="N1499" s="1">
        <v>1240</v>
      </c>
      <c r="O1499" s="1">
        <f>N1499*4968</f>
        <v>6160320</v>
      </c>
      <c r="P1499" s="1">
        <v>0</v>
      </c>
      <c r="Q1499" s="1">
        <f>P1499*1400</f>
        <v>0</v>
      </c>
      <c r="R1499" s="1">
        <v>1100</v>
      </c>
      <c r="S1499" s="1">
        <f>R1499*3751</f>
        <v>4126100</v>
      </c>
      <c r="T1499" s="1">
        <v>0</v>
      </c>
      <c r="U1499" s="1">
        <v>50000</v>
      </c>
      <c r="V1499" s="1">
        <v>0</v>
      </c>
      <c r="W1499" s="1">
        <v>50000</v>
      </c>
      <c r="X1499" s="1">
        <v>0</v>
      </c>
      <c r="Y1499" s="1">
        <v>0</v>
      </c>
      <c r="Z1499" s="1">
        <v>0</v>
      </c>
      <c r="AA1499" s="1">
        <v>0</v>
      </c>
      <c r="AB1499" s="1">
        <v>0</v>
      </c>
      <c r="AC1499" s="1">
        <v>0</v>
      </c>
      <c r="AD1499" s="1">
        <v>0</v>
      </c>
    </row>
    <row r="1500" spans="1:30" s="20" customFormat="1" ht="36" customHeight="1" x14ac:dyDescent="0.25">
      <c r="A1500" s="2">
        <f t="shared" si="795"/>
        <v>1445</v>
      </c>
      <c r="B1500" s="6">
        <f t="shared" si="792"/>
        <v>1445</v>
      </c>
      <c r="C1500" s="19" t="s">
        <v>209</v>
      </c>
      <c r="D1500" s="4">
        <f t="shared" si="793"/>
        <v>22441081</v>
      </c>
      <c r="E1500" s="1">
        <f t="shared" si="796"/>
        <v>9027291</v>
      </c>
      <c r="F1500" s="1">
        <f>804*2691.5</f>
        <v>2163966</v>
      </c>
      <c r="G1500" s="1">
        <f>1693*2691.5</f>
        <v>4556709.5</v>
      </c>
      <c r="H1500" s="1">
        <f>390*2691.5</f>
        <v>1049685</v>
      </c>
      <c r="I1500" s="1">
        <v>0</v>
      </c>
      <c r="J1500" s="1">
        <f>467*2691.5</f>
        <v>1256930.5</v>
      </c>
      <c r="K1500" s="1">
        <v>0</v>
      </c>
      <c r="L1500" s="2">
        <v>0</v>
      </c>
      <c r="M1500" s="1">
        <v>0</v>
      </c>
      <c r="N1500" s="1">
        <v>1100</v>
      </c>
      <c r="O1500" s="1">
        <f t="shared" si="802"/>
        <v>8525000</v>
      </c>
      <c r="P1500" s="1">
        <v>0</v>
      </c>
      <c r="Q1500" s="1">
        <f t="shared" si="799"/>
        <v>0</v>
      </c>
      <c r="R1500" s="1">
        <v>1290</v>
      </c>
      <c r="S1500" s="1">
        <f t="shared" si="807"/>
        <v>4838790</v>
      </c>
      <c r="T1500" s="1">
        <v>0</v>
      </c>
      <c r="U1500" s="1">
        <v>50000</v>
      </c>
      <c r="V1500" s="1">
        <v>0</v>
      </c>
      <c r="W1500" s="1">
        <v>0</v>
      </c>
      <c r="X1500" s="1">
        <v>0</v>
      </c>
      <c r="Y1500" s="1">
        <v>0</v>
      </c>
      <c r="Z1500" s="1">
        <v>0</v>
      </c>
      <c r="AA1500" s="1">
        <v>0</v>
      </c>
      <c r="AB1500" s="1">
        <v>0</v>
      </c>
      <c r="AC1500" s="1">
        <v>0</v>
      </c>
      <c r="AD1500" s="1">
        <v>0</v>
      </c>
    </row>
    <row r="1501" spans="1:30" s="20" customFormat="1" ht="36" customHeight="1" x14ac:dyDescent="0.25">
      <c r="A1501" s="2">
        <f t="shared" si="795"/>
        <v>1446</v>
      </c>
      <c r="B1501" s="6">
        <f t="shared" ref="B1501" si="808">A1501</f>
        <v>1446</v>
      </c>
      <c r="C1501" s="19" t="s">
        <v>2141</v>
      </c>
      <c r="D1501" s="4">
        <f>E1501+M1501+O1501+Q1501+S1501+T1501+U1501+V1501+X1501+W1501+Z1501+AA1501+AB1501+AC1501+AD1501</f>
        <v>2455372.5</v>
      </c>
      <c r="E1501" s="1">
        <f t="shared" ref="E1501" si="809">SUM(F1501:K1501)</f>
        <v>1655172.4999999998</v>
      </c>
      <c r="F1501" s="1">
        <f>804*421.7</f>
        <v>339046.8</v>
      </c>
      <c r="G1501" s="1">
        <f>1693*421.7</f>
        <v>713938.1</v>
      </c>
      <c r="H1501" s="1">
        <f>390*421.7</f>
        <v>164463</v>
      </c>
      <c r="I1501" s="1">
        <f>571*421.7</f>
        <v>240790.69999999998</v>
      </c>
      <c r="J1501" s="1">
        <f>467*421.7</f>
        <v>196933.9</v>
      </c>
      <c r="K1501" s="1">
        <v>0</v>
      </c>
      <c r="L1501" s="2">
        <v>0</v>
      </c>
      <c r="M1501" s="1">
        <v>0</v>
      </c>
      <c r="N1501" s="1">
        <v>0</v>
      </c>
      <c r="O1501" s="1">
        <v>0</v>
      </c>
      <c r="P1501" s="1">
        <v>0</v>
      </c>
      <c r="Q1501" s="1">
        <f t="shared" ref="Q1501" si="810">P1501*1400</f>
        <v>0</v>
      </c>
      <c r="R1501" s="1">
        <v>200</v>
      </c>
      <c r="S1501" s="1">
        <f t="shared" ref="S1501" si="811">R1501*3751</f>
        <v>750200</v>
      </c>
      <c r="T1501" s="1">
        <v>0</v>
      </c>
      <c r="U1501" s="1">
        <v>50000</v>
      </c>
      <c r="V1501" s="1">
        <v>0</v>
      </c>
      <c r="W1501" s="1">
        <v>0</v>
      </c>
      <c r="X1501" s="1">
        <v>0</v>
      </c>
      <c r="Y1501" s="1">
        <v>0</v>
      </c>
      <c r="Z1501" s="1">
        <v>0</v>
      </c>
      <c r="AA1501" s="1">
        <v>0</v>
      </c>
      <c r="AB1501" s="1">
        <v>0</v>
      </c>
      <c r="AC1501" s="1">
        <v>0</v>
      </c>
      <c r="AD1501" s="1">
        <v>0</v>
      </c>
    </row>
    <row r="1502" spans="1:30" s="20" customFormat="1" ht="36" customHeight="1" x14ac:dyDescent="0.25">
      <c r="A1502" s="2">
        <f t="shared" si="795"/>
        <v>1447</v>
      </c>
      <c r="B1502" s="6">
        <f t="shared" si="792"/>
        <v>1447</v>
      </c>
      <c r="C1502" s="19" t="s">
        <v>2142</v>
      </c>
      <c r="D1502" s="4">
        <f>E1502+M1502+O1502+Q1502+S1502+T1502+U1502+V1502+X1502+W1502+Z1502+AA1502+AB1502+AC1502+AD1502</f>
        <v>2447915</v>
      </c>
      <c r="E1502" s="1">
        <f t="shared" si="796"/>
        <v>1647715.0000000002</v>
      </c>
      <c r="F1502" s="1">
        <f>804*419.8</f>
        <v>337519.2</v>
      </c>
      <c r="G1502" s="1">
        <f>1693*419.8</f>
        <v>710721.4</v>
      </c>
      <c r="H1502" s="1">
        <f>390*419.8</f>
        <v>163722</v>
      </c>
      <c r="I1502" s="1">
        <f>571*419.8</f>
        <v>239705.80000000002</v>
      </c>
      <c r="J1502" s="1">
        <f>467*419.8</f>
        <v>196046.6</v>
      </c>
      <c r="K1502" s="1">
        <v>0</v>
      </c>
      <c r="L1502" s="2">
        <v>0</v>
      </c>
      <c r="M1502" s="1">
        <v>0</v>
      </c>
      <c r="N1502" s="1">
        <v>0</v>
      </c>
      <c r="O1502" s="1">
        <v>0</v>
      </c>
      <c r="P1502" s="1">
        <v>0</v>
      </c>
      <c r="Q1502" s="1">
        <f t="shared" si="799"/>
        <v>0</v>
      </c>
      <c r="R1502" s="1">
        <v>200</v>
      </c>
      <c r="S1502" s="1">
        <f t="shared" si="807"/>
        <v>750200</v>
      </c>
      <c r="T1502" s="1">
        <v>0</v>
      </c>
      <c r="U1502" s="1">
        <v>50000</v>
      </c>
      <c r="V1502" s="1">
        <v>0</v>
      </c>
      <c r="W1502" s="1">
        <v>0</v>
      </c>
      <c r="X1502" s="1">
        <v>0</v>
      </c>
      <c r="Y1502" s="1">
        <v>0</v>
      </c>
      <c r="Z1502" s="1">
        <v>0</v>
      </c>
      <c r="AA1502" s="1">
        <v>0</v>
      </c>
      <c r="AB1502" s="1">
        <v>0</v>
      </c>
      <c r="AC1502" s="1">
        <v>0</v>
      </c>
      <c r="AD1502" s="1">
        <v>0</v>
      </c>
    </row>
    <row r="1503" spans="1:30" s="20" customFormat="1" ht="36" customHeight="1" x14ac:dyDescent="0.25">
      <c r="A1503" s="2">
        <f t="shared" si="795"/>
        <v>1448</v>
      </c>
      <c r="B1503" s="6">
        <f t="shared" si="792"/>
        <v>1448</v>
      </c>
      <c r="C1503" s="19" t="s">
        <v>2143</v>
      </c>
      <c r="D1503" s="4">
        <f>E1503+M1503+O1503+Q1503+S1503+T1503+U1503+V1503+X1503+W1503+Z1503+AA1503+AB1503+AC1503+AD1503</f>
        <v>2438887.5</v>
      </c>
      <c r="E1503" s="1">
        <f t="shared" si="796"/>
        <v>1638687.5</v>
      </c>
      <c r="F1503" s="1">
        <f>804*417.5</f>
        <v>335670</v>
      </c>
      <c r="G1503" s="1">
        <f>1693*417.5</f>
        <v>706827.5</v>
      </c>
      <c r="H1503" s="1">
        <f>390*417.5</f>
        <v>162825</v>
      </c>
      <c r="I1503" s="1">
        <f>571*417.5</f>
        <v>238392.5</v>
      </c>
      <c r="J1503" s="1">
        <f>467*417.5</f>
        <v>194972.5</v>
      </c>
      <c r="K1503" s="1">
        <v>0</v>
      </c>
      <c r="L1503" s="2">
        <v>0</v>
      </c>
      <c r="M1503" s="1">
        <v>0</v>
      </c>
      <c r="N1503" s="1">
        <v>0</v>
      </c>
      <c r="O1503" s="1">
        <v>0</v>
      </c>
      <c r="P1503" s="1">
        <v>0</v>
      </c>
      <c r="Q1503" s="1">
        <f t="shared" si="799"/>
        <v>0</v>
      </c>
      <c r="R1503" s="1">
        <v>200</v>
      </c>
      <c r="S1503" s="1">
        <f t="shared" si="807"/>
        <v>750200</v>
      </c>
      <c r="T1503" s="1">
        <v>0</v>
      </c>
      <c r="U1503" s="1">
        <v>50000</v>
      </c>
      <c r="V1503" s="1">
        <v>0</v>
      </c>
      <c r="W1503" s="1">
        <v>0</v>
      </c>
      <c r="X1503" s="1">
        <v>0</v>
      </c>
      <c r="Y1503" s="1">
        <v>0</v>
      </c>
      <c r="Z1503" s="1">
        <v>0</v>
      </c>
      <c r="AA1503" s="1">
        <v>0</v>
      </c>
      <c r="AB1503" s="1">
        <v>0</v>
      </c>
      <c r="AC1503" s="1">
        <v>0</v>
      </c>
      <c r="AD1503" s="1">
        <v>0</v>
      </c>
    </row>
    <row r="1504" spans="1:30" s="20" customFormat="1" ht="36" customHeight="1" x14ac:dyDescent="0.25">
      <c r="A1504" s="2">
        <f t="shared" si="795"/>
        <v>1449</v>
      </c>
      <c r="B1504" s="6">
        <f t="shared" ref="B1504" si="812">A1504</f>
        <v>1449</v>
      </c>
      <c r="C1504" s="19" t="s">
        <v>2144</v>
      </c>
      <c r="D1504" s="4">
        <f>E1504+M1504+O1504+Q1504+S1504+T1504+U1504+V1504+X1504+W1504+Z1504+AA1504+AB1504+AC1504+AD1504</f>
        <v>2484810</v>
      </c>
      <c r="E1504" s="1">
        <f t="shared" ref="E1504" si="813">SUM(F1504:K1504)</f>
        <v>1684609.9999999998</v>
      </c>
      <c r="F1504" s="1">
        <f>804*429.2</f>
        <v>345076.8</v>
      </c>
      <c r="G1504" s="1">
        <f>1693*429.2</f>
        <v>726635.6</v>
      </c>
      <c r="H1504" s="1">
        <f>390*429.2</f>
        <v>167388</v>
      </c>
      <c r="I1504" s="1">
        <f>571*429.2</f>
        <v>245073.19999999998</v>
      </c>
      <c r="J1504" s="1">
        <f>467*429.2</f>
        <v>200436.4</v>
      </c>
      <c r="K1504" s="1">
        <v>0</v>
      </c>
      <c r="L1504" s="2">
        <v>0</v>
      </c>
      <c r="M1504" s="1">
        <v>0</v>
      </c>
      <c r="N1504" s="1">
        <v>0</v>
      </c>
      <c r="O1504" s="1">
        <v>0</v>
      </c>
      <c r="P1504" s="1">
        <v>0</v>
      </c>
      <c r="Q1504" s="1">
        <f t="shared" ref="Q1504" si="814">P1504*1400</f>
        <v>0</v>
      </c>
      <c r="R1504" s="1">
        <v>200</v>
      </c>
      <c r="S1504" s="1">
        <f t="shared" ref="S1504" si="815">R1504*3751</f>
        <v>750200</v>
      </c>
      <c r="T1504" s="1">
        <v>0</v>
      </c>
      <c r="U1504" s="1">
        <v>50000</v>
      </c>
      <c r="V1504" s="1">
        <v>0</v>
      </c>
      <c r="W1504" s="1">
        <v>0</v>
      </c>
      <c r="X1504" s="1">
        <v>0</v>
      </c>
      <c r="Y1504" s="1">
        <v>0</v>
      </c>
      <c r="Z1504" s="1">
        <v>0</v>
      </c>
      <c r="AA1504" s="1">
        <v>0</v>
      </c>
      <c r="AB1504" s="1">
        <v>0</v>
      </c>
      <c r="AC1504" s="1">
        <v>0</v>
      </c>
      <c r="AD1504" s="1">
        <v>0</v>
      </c>
    </row>
    <row r="1505" spans="1:30" s="20" customFormat="1" ht="36" customHeight="1" x14ac:dyDescent="0.25">
      <c r="A1505" s="2">
        <f t="shared" si="795"/>
        <v>1450</v>
      </c>
      <c r="B1505" s="6">
        <f>A1505</f>
        <v>1450</v>
      </c>
      <c r="C1505" s="19" t="s">
        <v>212</v>
      </c>
      <c r="D1505" s="4">
        <f t="shared" ref="D1505:D1522" si="816">E1505+M1505+O1505+Q1505+S1505+T1505+U1505+V1505+W1505+X1505+Z1505+AA1505+AB1505+AC1505+AD1505</f>
        <v>5207755.5999999996</v>
      </c>
      <c r="E1505" s="1">
        <f t="shared" si="796"/>
        <v>338805.6</v>
      </c>
      <c r="F1505" s="1">
        <f>804*421.4</f>
        <v>338805.6</v>
      </c>
      <c r="G1505" s="1">
        <v>0</v>
      </c>
      <c r="H1505" s="1">
        <v>0</v>
      </c>
      <c r="I1505" s="1">
        <v>0</v>
      </c>
      <c r="J1505" s="1">
        <v>0</v>
      </c>
      <c r="K1505" s="1">
        <v>0</v>
      </c>
      <c r="L1505" s="2">
        <v>0</v>
      </c>
      <c r="M1505" s="1">
        <v>0</v>
      </c>
      <c r="N1505" s="1">
        <v>404</v>
      </c>
      <c r="O1505" s="1">
        <f>N1505*7750</f>
        <v>3131000</v>
      </c>
      <c r="P1505" s="1">
        <v>0</v>
      </c>
      <c r="Q1505" s="1">
        <f t="shared" si="799"/>
        <v>0</v>
      </c>
      <c r="R1505" s="1">
        <v>450</v>
      </c>
      <c r="S1505" s="1">
        <f t="shared" si="807"/>
        <v>1687950</v>
      </c>
      <c r="T1505" s="1">
        <v>0</v>
      </c>
      <c r="U1505" s="1">
        <v>50000</v>
      </c>
      <c r="V1505" s="1">
        <v>0</v>
      </c>
      <c r="W1505" s="1">
        <v>0</v>
      </c>
      <c r="X1505" s="1">
        <v>0</v>
      </c>
      <c r="Y1505" s="1">
        <v>0</v>
      </c>
      <c r="Z1505" s="1">
        <v>0</v>
      </c>
      <c r="AA1505" s="1">
        <v>0</v>
      </c>
      <c r="AB1505" s="1">
        <v>0</v>
      </c>
      <c r="AC1505" s="1">
        <v>0</v>
      </c>
      <c r="AD1505" s="1">
        <v>0</v>
      </c>
    </row>
    <row r="1506" spans="1:30" s="20" customFormat="1" ht="36" customHeight="1" x14ac:dyDescent="0.25">
      <c r="A1506" s="2">
        <f t="shared" si="795"/>
        <v>1451</v>
      </c>
      <c r="B1506" s="6">
        <f>A1506</f>
        <v>1451</v>
      </c>
      <c r="C1506" s="19" t="s">
        <v>213</v>
      </c>
      <c r="D1506" s="4">
        <f t="shared" si="816"/>
        <v>4747430</v>
      </c>
      <c r="E1506" s="1">
        <f t="shared" si="796"/>
        <v>0</v>
      </c>
      <c r="F1506" s="1">
        <v>0</v>
      </c>
      <c r="G1506" s="1">
        <v>0</v>
      </c>
      <c r="H1506" s="1">
        <v>0</v>
      </c>
      <c r="I1506" s="1">
        <v>0</v>
      </c>
      <c r="J1506" s="1">
        <v>0</v>
      </c>
      <c r="K1506" s="1">
        <v>0</v>
      </c>
      <c r="L1506" s="2">
        <v>0</v>
      </c>
      <c r="M1506" s="1">
        <v>0</v>
      </c>
      <c r="N1506" s="1">
        <v>398</v>
      </c>
      <c r="O1506" s="1">
        <f>N1506*7750</f>
        <v>3084500</v>
      </c>
      <c r="P1506" s="1">
        <v>0</v>
      </c>
      <c r="Q1506" s="1">
        <f t="shared" si="799"/>
        <v>0</v>
      </c>
      <c r="R1506" s="1">
        <v>430</v>
      </c>
      <c r="S1506" s="1">
        <f t="shared" si="807"/>
        <v>1612930</v>
      </c>
      <c r="T1506" s="1">
        <v>0</v>
      </c>
      <c r="U1506" s="1">
        <v>50000</v>
      </c>
      <c r="V1506" s="1">
        <v>0</v>
      </c>
      <c r="W1506" s="1">
        <v>0</v>
      </c>
      <c r="X1506" s="1">
        <v>0</v>
      </c>
      <c r="Y1506" s="1">
        <v>0</v>
      </c>
      <c r="Z1506" s="1">
        <v>0</v>
      </c>
      <c r="AA1506" s="1">
        <v>0</v>
      </c>
      <c r="AB1506" s="1">
        <v>0</v>
      </c>
      <c r="AC1506" s="1">
        <v>0</v>
      </c>
      <c r="AD1506" s="1">
        <v>0</v>
      </c>
    </row>
    <row r="1507" spans="1:30" s="20" customFormat="1" ht="36" customHeight="1" x14ac:dyDescent="0.25">
      <c r="A1507" s="2">
        <f t="shared" si="795"/>
        <v>1452</v>
      </c>
      <c r="B1507" s="6">
        <f t="shared" si="792"/>
        <v>1452</v>
      </c>
      <c r="C1507" s="19" t="s">
        <v>800</v>
      </c>
      <c r="D1507" s="4">
        <f t="shared" si="816"/>
        <v>2329141.2000000002</v>
      </c>
      <c r="E1507" s="1">
        <f t="shared" si="796"/>
        <v>696291.2</v>
      </c>
      <c r="F1507" s="1">
        <f>804*419.2</f>
        <v>337036.79999999999</v>
      </c>
      <c r="G1507" s="1">
        <v>0</v>
      </c>
      <c r="H1507" s="1">
        <f>390*419.2</f>
        <v>163488</v>
      </c>
      <c r="I1507" s="1">
        <v>0</v>
      </c>
      <c r="J1507" s="1">
        <f>467*419.2</f>
        <v>195766.39999999999</v>
      </c>
      <c r="K1507" s="1">
        <v>0</v>
      </c>
      <c r="L1507" s="2">
        <v>0</v>
      </c>
      <c r="M1507" s="1">
        <v>0</v>
      </c>
      <c r="N1507" s="1">
        <v>0</v>
      </c>
      <c r="O1507" s="1">
        <f>N1507*7750</f>
        <v>0</v>
      </c>
      <c r="P1507" s="1">
        <v>50</v>
      </c>
      <c r="Q1507" s="1">
        <f t="shared" si="799"/>
        <v>70000</v>
      </c>
      <c r="R1507" s="1">
        <v>350</v>
      </c>
      <c r="S1507" s="1">
        <f t="shared" si="807"/>
        <v>1312850</v>
      </c>
      <c r="T1507" s="1">
        <v>150000</v>
      </c>
      <c r="U1507" s="1">
        <v>50000</v>
      </c>
      <c r="V1507" s="1">
        <v>0</v>
      </c>
      <c r="W1507" s="1">
        <v>50000</v>
      </c>
      <c r="X1507" s="1">
        <v>0</v>
      </c>
      <c r="Y1507" s="1">
        <v>0</v>
      </c>
      <c r="Z1507" s="1">
        <v>0</v>
      </c>
      <c r="AA1507" s="1">
        <v>0</v>
      </c>
      <c r="AB1507" s="1">
        <v>0</v>
      </c>
      <c r="AC1507" s="1">
        <v>0</v>
      </c>
      <c r="AD1507" s="1">
        <v>0</v>
      </c>
    </row>
    <row r="1508" spans="1:30" s="20" customFormat="1" ht="36" customHeight="1" x14ac:dyDescent="0.25">
      <c r="A1508" s="2">
        <f t="shared" si="795"/>
        <v>1453</v>
      </c>
      <c r="B1508" s="6">
        <f t="shared" ref="B1508:B1513" si="817">A1508</f>
        <v>1453</v>
      </c>
      <c r="C1508" s="19" t="s">
        <v>218</v>
      </c>
      <c r="D1508" s="4">
        <f t="shared" si="816"/>
        <v>3487500</v>
      </c>
      <c r="E1508" s="1">
        <f t="shared" si="796"/>
        <v>0</v>
      </c>
      <c r="F1508" s="1">
        <v>0</v>
      </c>
      <c r="G1508" s="1">
        <v>0</v>
      </c>
      <c r="H1508" s="1">
        <v>0</v>
      </c>
      <c r="I1508" s="1">
        <v>0</v>
      </c>
      <c r="J1508" s="1">
        <v>0</v>
      </c>
      <c r="K1508" s="1">
        <v>0</v>
      </c>
      <c r="L1508" s="2">
        <v>0</v>
      </c>
      <c r="M1508" s="1">
        <v>0</v>
      </c>
      <c r="N1508" s="1">
        <v>450</v>
      </c>
      <c r="O1508" s="1">
        <f>N1508*7750</f>
        <v>3487500</v>
      </c>
      <c r="P1508" s="1">
        <v>0</v>
      </c>
      <c r="Q1508" s="1">
        <f t="shared" si="799"/>
        <v>0</v>
      </c>
      <c r="R1508" s="1">
        <v>0</v>
      </c>
      <c r="S1508" s="1">
        <f t="shared" si="807"/>
        <v>0</v>
      </c>
      <c r="T1508" s="1">
        <v>0</v>
      </c>
      <c r="U1508" s="1">
        <v>0</v>
      </c>
      <c r="V1508" s="1">
        <v>0</v>
      </c>
      <c r="W1508" s="1">
        <v>0</v>
      </c>
      <c r="X1508" s="1">
        <v>0</v>
      </c>
      <c r="Y1508" s="1">
        <v>0</v>
      </c>
      <c r="Z1508" s="1">
        <v>0</v>
      </c>
      <c r="AA1508" s="1">
        <v>0</v>
      </c>
      <c r="AB1508" s="1">
        <v>0</v>
      </c>
      <c r="AC1508" s="1">
        <v>0</v>
      </c>
      <c r="AD1508" s="1">
        <v>0</v>
      </c>
    </row>
    <row r="1509" spans="1:30" s="20" customFormat="1" ht="36" customHeight="1" x14ac:dyDescent="0.25">
      <c r="A1509" s="2">
        <f t="shared" si="795"/>
        <v>1454</v>
      </c>
      <c r="B1509" s="6">
        <f t="shared" si="817"/>
        <v>1454</v>
      </c>
      <c r="C1509" s="19" t="s">
        <v>1665</v>
      </c>
      <c r="D1509" s="4">
        <f t="shared" si="816"/>
        <v>524360</v>
      </c>
      <c r="E1509" s="1">
        <f t="shared" si="796"/>
        <v>474360</v>
      </c>
      <c r="F1509" s="1">
        <f>804*590</f>
        <v>474360</v>
      </c>
      <c r="G1509" s="1">
        <v>0</v>
      </c>
      <c r="H1509" s="1">
        <v>0</v>
      </c>
      <c r="I1509" s="1">
        <v>0</v>
      </c>
      <c r="J1509" s="1">
        <v>0</v>
      </c>
      <c r="K1509" s="1">
        <v>0</v>
      </c>
      <c r="L1509" s="2">
        <v>0</v>
      </c>
      <c r="M1509" s="1">
        <v>0</v>
      </c>
      <c r="N1509" s="1">
        <v>0</v>
      </c>
      <c r="O1509" s="1">
        <v>0</v>
      </c>
      <c r="P1509" s="1">
        <v>0</v>
      </c>
      <c r="Q1509" s="1">
        <f t="shared" si="799"/>
        <v>0</v>
      </c>
      <c r="R1509" s="1">
        <v>0</v>
      </c>
      <c r="S1509" s="1">
        <v>0</v>
      </c>
      <c r="T1509" s="1">
        <v>0</v>
      </c>
      <c r="U1509" s="1">
        <v>50000</v>
      </c>
      <c r="V1509" s="1">
        <v>0</v>
      </c>
      <c r="W1509" s="1">
        <v>0</v>
      </c>
      <c r="X1509" s="1">
        <v>0</v>
      </c>
      <c r="Y1509" s="1">
        <v>0</v>
      </c>
      <c r="Z1509" s="1">
        <v>0</v>
      </c>
      <c r="AA1509" s="1">
        <v>0</v>
      </c>
      <c r="AB1509" s="1">
        <v>0</v>
      </c>
      <c r="AC1509" s="1">
        <v>0</v>
      </c>
      <c r="AD1509" s="1">
        <v>0</v>
      </c>
    </row>
    <row r="1510" spans="1:30" s="20" customFormat="1" ht="36" customHeight="1" x14ac:dyDescent="0.25">
      <c r="A1510" s="2">
        <f t="shared" si="795"/>
        <v>1455</v>
      </c>
      <c r="B1510" s="6">
        <f t="shared" si="817"/>
        <v>1455</v>
      </c>
      <c r="C1510" s="19" t="s">
        <v>222</v>
      </c>
      <c r="D1510" s="4">
        <f t="shared" si="816"/>
        <v>6072588</v>
      </c>
      <c r="E1510" s="1">
        <f t="shared" si="796"/>
        <v>336072</v>
      </c>
      <c r="F1510" s="1">
        <f>804*418</f>
        <v>336072</v>
      </c>
      <c r="G1510" s="1">
        <v>0</v>
      </c>
      <c r="H1510" s="1">
        <v>0</v>
      </c>
      <c r="I1510" s="1">
        <v>0</v>
      </c>
      <c r="J1510" s="1">
        <v>0</v>
      </c>
      <c r="K1510" s="1">
        <v>0</v>
      </c>
      <c r="L1510" s="2">
        <v>0</v>
      </c>
      <c r="M1510" s="1">
        <v>0</v>
      </c>
      <c r="N1510" s="1">
        <v>484</v>
      </c>
      <c r="O1510" s="1">
        <f>N1510*7750</f>
        <v>3751000</v>
      </c>
      <c r="P1510" s="1">
        <v>0</v>
      </c>
      <c r="Q1510" s="1">
        <f t="shared" si="799"/>
        <v>0</v>
      </c>
      <c r="R1510" s="1">
        <v>516</v>
      </c>
      <c r="S1510" s="1">
        <f t="shared" ref="S1510:S1518" si="818">R1510*3751</f>
        <v>1935516</v>
      </c>
      <c r="T1510" s="1">
        <v>0</v>
      </c>
      <c r="U1510" s="1">
        <v>50000</v>
      </c>
      <c r="V1510" s="1">
        <v>0</v>
      </c>
      <c r="W1510" s="1">
        <v>0</v>
      </c>
      <c r="X1510" s="1">
        <v>0</v>
      </c>
      <c r="Y1510" s="1">
        <v>0</v>
      </c>
      <c r="Z1510" s="1">
        <v>0</v>
      </c>
      <c r="AA1510" s="1">
        <v>0</v>
      </c>
      <c r="AB1510" s="1">
        <v>0</v>
      </c>
      <c r="AC1510" s="1">
        <v>0</v>
      </c>
      <c r="AD1510" s="1">
        <v>0</v>
      </c>
    </row>
    <row r="1511" spans="1:30" s="20" customFormat="1" ht="36" customHeight="1" x14ac:dyDescent="0.25">
      <c r="A1511" s="2">
        <f t="shared" si="795"/>
        <v>1456</v>
      </c>
      <c r="B1511" s="6">
        <f t="shared" si="817"/>
        <v>1456</v>
      </c>
      <c r="C1511" s="19" t="s">
        <v>1621</v>
      </c>
      <c r="D1511" s="4">
        <f t="shared" si="816"/>
        <v>980696</v>
      </c>
      <c r="E1511" s="1">
        <f t="shared" si="796"/>
        <v>930696</v>
      </c>
      <c r="F1511" s="1">
        <f>804*314</f>
        <v>252456</v>
      </c>
      <c r="G1511" s="1">
        <f>1693*314</f>
        <v>531602</v>
      </c>
      <c r="H1511" s="1">
        <v>0</v>
      </c>
      <c r="I1511" s="1">
        <v>0</v>
      </c>
      <c r="J1511" s="1">
        <f>467*314</f>
        <v>146638</v>
      </c>
      <c r="K1511" s="1">
        <v>0</v>
      </c>
      <c r="L1511" s="2">
        <v>0</v>
      </c>
      <c r="M1511" s="1">
        <v>0</v>
      </c>
      <c r="N1511" s="1">
        <v>0</v>
      </c>
      <c r="O1511" s="1">
        <v>0</v>
      </c>
      <c r="P1511" s="1">
        <v>0</v>
      </c>
      <c r="Q1511" s="1">
        <f t="shared" si="799"/>
        <v>0</v>
      </c>
      <c r="R1511" s="1">
        <v>0</v>
      </c>
      <c r="S1511" s="1">
        <f t="shared" si="818"/>
        <v>0</v>
      </c>
      <c r="T1511" s="1">
        <v>0</v>
      </c>
      <c r="U1511" s="1">
        <v>50000</v>
      </c>
      <c r="V1511" s="1">
        <v>0</v>
      </c>
      <c r="W1511" s="1">
        <v>0</v>
      </c>
      <c r="X1511" s="1">
        <v>0</v>
      </c>
      <c r="Y1511" s="1">
        <v>0</v>
      </c>
      <c r="Z1511" s="1">
        <v>0</v>
      </c>
      <c r="AA1511" s="1">
        <v>0</v>
      </c>
      <c r="AB1511" s="1">
        <v>0</v>
      </c>
      <c r="AC1511" s="1">
        <v>0</v>
      </c>
      <c r="AD1511" s="1">
        <v>0</v>
      </c>
    </row>
    <row r="1512" spans="1:30" s="20" customFormat="1" ht="36" customHeight="1" x14ac:dyDescent="0.25">
      <c r="A1512" s="2">
        <f t="shared" si="795"/>
        <v>1457</v>
      </c>
      <c r="B1512" s="6">
        <f t="shared" si="817"/>
        <v>1457</v>
      </c>
      <c r="C1512" s="19" t="s">
        <v>2510</v>
      </c>
      <c r="D1512" s="4">
        <f t="shared" si="816"/>
        <v>6338894</v>
      </c>
      <c r="E1512" s="1">
        <f t="shared" si="796"/>
        <v>379488</v>
      </c>
      <c r="F1512" s="1">
        <f>804*472</f>
        <v>379488</v>
      </c>
      <c r="G1512" s="1">
        <v>0</v>
      </c>
      <c r="H1512" s="1">
        <v>0</v>
      </c>
      <c r="I1512" s="1">
        <v>0</v>
      </c>
      <c r="J1512" s="1">
        <v>0</v>
      </c>
      <c r="K1512" s="1">
        <v>0</v>
      </c>
      <c r="L1512" s="2">
        <v>0</v>
      </c>
      <c r="M1512" s="1">
        <v>0</v>
      </c>
      <c r="N1512" s="1">
        <v>566</v>
      </c>
      <c r="O1512" s="1">
        <f>N1512*7750</f>
        <v>4386500</v>
      </c>
      <c r="P1512" s="1">
        <v>0</v>
      </c>
      <c r="Q1512" s="1">
        <f t="shared" si="799"/>
        <v>0</v>
      </c>
      <c r="R1512" s="1">
        <v>406</v>
      </c>
      <c r="S1512" s="1">
        <f t="shared" si="818"/>
        <v>1522906</v>
      </c>
      <c r="T1512" s="1">
        <v>0</v>
      </c>
      <c r="U1512" s="1">
        <v>50000</v>
      </c>
      <c r="V1512" s="1">
        <v>0</v>
      </c>
      <c r="W1512" s="1">
        <v>0</v>
      </c>
      <c r="X1512" s="1">
        <v>0</v>
      </c>
      <c r="Y1512" s="1">
        <v>0</v>
      </c>
      <c r="Z1512" s="1">
        <v>0</v>
      </c>
      <c r="AA1512" s="1">
        <v>0</v>
      </c>
      <c r="AB1512" s="1">
        <v>0</v>
      </c>
      <c r="AC1512" s="1">
        <v>0</v>
      </c>
      <c r="AD1512" s="1">
        <v>0</v>
      </c>
    </row>
    <row r="1513" spans="1:30" s="20" customFormat="1" ht="36" customHeight="1" x14ac:dyDescent="0.25">
      <c r="A1513" s="2">
        <f t="shared" si="795"/>
        <v>1458</v>
      </c>
      <c r="B1513" s="6">
        <f t="shared" si="817"/>
        <v>1458</v>
      </c>
      <c r="C1513" s="19" t="s">
        <v>1828</v>
      </c>
      <c r="D1513" s="4">
        <f t="shared" si="816"/>
        <v>393147.2</v>
      </c>
      <c r="E1513" s="1">
        <f t="shared" si="796"/>
        <v>343147.2</v>
      </c>
      <c r="F1513" s="1">
        <f>804*426.8</f>
        <v>343147.2</v>
      </c>
      <c r="G1513" s="1">
        <v>0</v>
      </c>
      <c r="H1513" s="1">
        <v>0</v>
      </c>
      <c r="I1513" s="1">
        <v>0</v>
      </c>
      <c r="J1513" s="1">
        <v>0</v>
      </c>
      <c r="K1513" s="1">
        <v>0</v>
      </c>
      <c r="L1513" s="2">
        <v>0</v>
      </c>
      <c r="M1513" s="1">
        <v>0</v>
      </c>
      <c r="N1513" s="1">
        <v>0</v>
      </c>
      <c r="O1513" s="1">
        <v>0</v>
      </c>
      <c r="P1513" s="1">
        <v>0</v>
      </c>
      <c r="Q1513" s="1">
        <f t="shared" si="799"/>
        <v>0</v>
      </c>
      <c r="R1513" s="1">
        <v>0</v>
      </c>
      <c r="S1513" s="1">
        <f t="shared" si="818"/>
        <v>0</v>
      </c>
      <c r="T1513" s="1">
        <v>0</v>
      </c>
      <c r="U1513" s="1">
        <v>50000</v>
      </c>
      <c r="V1513" s="1">
        <v>0</v>
      </c>
      <c r="W1513" s="1">
        <v>0</v>
      </c>
      <c r="X1513" s="1">
        <v>0</v>
      </c>
      <c r="Y1513" s="1">
        <v>0</v>
      </c>
      <c r="Z1513" s="1">
        <v>0</v>
      </c>
      <c r="AA1513" s="1">
        <v>0</v>
      </c>
      <c r="AB1513" s="1">
        <v>0</v>
      </c>
      <c r="AC1513" s="1">
        <v>0</v>
      </c>
      <c r="AD1513" s="1">
        <v>0</v>
      </c>
    </row>
    <row r="1514" spans="1:30" s="20" customFormat="1" ht="36" customHeight="1" x14ac:dyDescent="0.25">
      <c r="A1514" s="2">
        <f t="shared" si="795"/>
        <v>1459</v>
      </c>
      <c r="B1514" s="6">
        <f t="shared" si="792"/>
        <v>1459</v>
      </c>
      <c r="C1514" s="19" t="s">
        <v>801</v>
      </c>
      <c r="D1514" s="4">
        <f t="shared" si="816"/>
        <v>7477485.9000000004</v>
      </c>
      <c r="E1514" s="1">
        <f t="shared" si="796"/>
        <v>968363</v>
      </c>
      <c r="F1514" s="1">
        <f>804*583</f>
        <v>468732</v>
      </c>
      <c r="G1514" s="1">
        <v>0</v>
      </c>
      <c r="H1514" s="1">
        <f>390*583</f>
        <v>227370</v>
      </c>
      <c r="I1514" s="1">
        <v>0</v>
      </c>
      <c r="J1514" s="1">
        <f>467*583</f>
        <v>272261</v>
      </c>
      <c r="K1514" s="1">
        <v>0</v>
      </c>
      <c r="L1514" s="2">
        <v>0</v>
      </c>
      <c r="M1514" s="1">
        <v>0</v>
      </c>
      <c r="N1514" s="1">
        <v>555.75</v>
      </c>
      <c r="O1514" s="1">
        <f t="shared" ref="O1514:O1522" si="819">N1514*7750</f>
        <v>4307062.5</v>
      </c>
      <c r="P1514" s="1">
        <v>0</v>
      </c>
      <c r="Q1514" s="1">
        <f t="shared" si="799"/>
        <v>0</v>
      </c>
      <c r="R1514" s="1">
        <v>560.4</v>
      </c>
      <c r="S1514" s="1">
        <f t="shared" si="818"/>
        <v>2102060.4</v>
      </c>
      <c r="T1514" s="1">
        <v>0</v>
      </c>
      <c r="U1514" s="1">
        <v>50000</v>
      </c>
      <c r="V1514" s="1">
        <v>0</v>
      </c>
      <c r="W1514" s="1">
        <v>50000</v>
      </c>
      <c r="X1514" s="1">
        <v>0</v>
      </c>
      <c r="Y1514" s="1">
        <v>0</v>
      </c>
      <c r="Z1514" s="1">
        <v>0</v>
      </c>
      <c r="AA1514" s="1">
        <v>0</v>
      </c>
      <c r="AB1514" s="1">
        <v>0</v>
      </c>
      <c r="AC1514" s="1">
        <v>0</v>
      </c>
      <c r="AD1514" s="1">
        <v>0</v>
      </c>
    </row>
    <row r="1515" spans="1:30" s="20" customFormat="1" ht="36" customHeight="1" x14ac:dyDescent="0.25">
      <c r="A1515" s="2">
        <f t="shared" si="795"/>
        <v>1460</v>
      </c>
      <c r="B1515" s="6">
        <f t="shared" si="792"/>
        <v>1460</v>
      </c>
      <c r="C1515" s="19" t="s">
        <v>802</v>
      </c>
      <c r="D1515" s="4">
        <f t="shared" si="816"/>
        <v>7761189.6999999993</v>
      </c>
      <c r="E1515" s="1">
        <f t="shared" si="796"/>
        <v>961885.10000000009</v>
      </c>
      <c r="F1515" s="1">
        <f>804*579.1</f>
        <v>465596.4</v>
      </c>
      <c r="G1515" s="1">
        <v>0</v>
      </c>
      <c r="H1515" s="1">
        <f>390*579.1</f>
        <v>225849</v>
      </c>
      <c r="I1515" s="1">
        <v>0</v>
      </c>
      <c r="J1515" s="1">
        <f>467*579.1</f>
        <v>270439.7</v>
      </c>
      <c r="K1515" s="1">
        <v>0</v>
      </c>
      <c r="L1515" s="2">
        <v>0</v>
      </c>
      <c r="M1515" s="1">
        <v>0</v>
      </c>
      <c r="N1515" s="1">
        <v>583.9</v>
      </c>
      <c r="O1515" s="1">
        <f t="shared" si="819"/>
        <v>4525225</v>
      </c>
      <c r="P1515" s="1">
        <v>0</v>
      </c>
      <c r="Q1515" s="1">
        <f t="shared" si="799"/>
        <v>0</v>
      </c>
      <c r="R1515" s="1">
        <v>579.6</v>
      </c>
      <c r="S1515" s="1">
        <f t="shared" si="818"/>
        <v>2174079.6</v>
      </c>
      <c r="T1515" s="1">
        <v>0</v>
      </c>
      <c r="U1515" s="1">
        <v>50000</v>
      </c>
      <c r="V1515" s="1">
        <v>0</v>
      </c>
      <c r="W1515" s="1">
        <v>50000</v>
      </c>
      <c r="X1515" s="1">
        <v>0</v>
      </c>
      <c r="Y1515" s="1">
        <v>0</v>
      </c>
      <c r="Z1515" s="1">
        <v>0</v>
      </c>
      <c r="AA1515" s="1">
        <v>0</v>
      </c>
      <c r="AB1515" s="1">
        <v>0</v>
      </c>
      <c r="AC1515" s="1">
        <v>0</v>
      </c>
      <c r="AD1515" s="1">
        <v>0</v>
      </c>
    </row>
    <row r="1516" spans="1:30" s="20" customFormat="1" ht="36" customHeight="1" x14ac:dyDescent="0.25">
      <c r="A1516" s="2">
        <f t="shared" si="795"/>
        <v>1461</v>
      </c>
      <c r="B1516" s="6">
        <f>A1516</f>
        <v>1461</v>
      </c>
      <c r="C1516" s="19" t="s">
        <v>803</v>
      </c>
      <c r="D1516" s="4">
        <f t="shared" si="816"/>
        <v>5262111.04</v>
      </c>
      <c r="E1516" s="1">
        <f t="shared" si="796"/>
        <v>599787.10000000009</v>
      </c>
      <c r="F1516" s="1">
        <f>804*361.1</f>
        <v>290324.40000000002</v>
      </c>
      <c r="G1516" s="1">
        <v>0</v>
      </c>
      <c r="H1516" s="1">
        <f>390*361.1</f>
        <v>140829</v>
      </c>
      <c r="I1516" s="1">
        <v>0</v>
      </c>
      <c r="J1516" s="1">
        <f>467*361.1</f>
        <v>168633.7</v>
      </c>
      <c r="K1516" s="1">
        <v>0</v>
      </c>
      <c r="L1516" s="2">
        <v>0</v>
      </c>
      <c r="M1516" s="1">
        <v>0</v>
      </c>
      <c r="N1516" s="1">
        <v>370.19</v>
      </c>
      <c r="O1516" s="1">
        <f t="shared" si="819"/>
        <v>2868972.5</v>
      </c>
      <c r="P1516" s="1">
        <v>0</v>
      </c>
      <c r="Q1516" s="1">
        <f t="shared" si="799"/>
        <v>0</v>
      </c>
      <c r="R1516" s="1">
        <v>451.44</v>
      </c>
      <c r="S1516" s="1">
        <f t="shared" si="818"/>
        <v>1693351.44</v>
      </c>
      <c r="T1516" s="1">
        <v>0</v>
      </c>
      <c r="U1516" s="1">
        <v>50000</v>
      </c>
      <c r="V1516" s="1">
        <v>0</v>
      </c>
      <c r="W1516" s="1">
        <v>50000</v>
      </c>
      <c r="X1516" s="1">
        <v>0</v>
      </c>
      <c r="Y1516" s="1">
        <v>0</v>
      </c>
      <c r="Z1516" s="1">
        <v>0</v>
      </c>
      <c r="AA1516" s="1">
        <v>0</v>
      </c>
      <c r="AB1516" s="1">
        <v>0</v>
      </c>
      <c r="AC1516" s="1">
        <v>0</v>
      </c>
      <c r="AD1516" s="1">
        <v>0</v>
      </c>
    </row>
    <row r="1517" spans="1:30" s="20" customFormat="1" ht="36" customHeight="1" x14ac:dyDescent="0.25">
      <c r="A1517" s="2">
        <f t="shared" si="795"/>
        <v>1462</v>
      </c>
      <c r="B1517" s="6">
        <f t="shared" si="792"/>
        <v>1462</v>
      </c>
      <c r="C1517" s="19" t="s">
        <v>1669</v>
      </c>
      <c r="D1517" s="4">
        <f t="shared" si="816"/>
        <v>4118288</v>
      </c>
      <c r="E1517" s="1">
        <f t="shared" si="796"/>
        <v>0</v>
      </c>
      <c r="F1517" s="1">
        <v>0</v>
      </c>
      <c r="G1517" s="1">
        <v>0</v>
      </c>
      <c r="H1517" s="1">
        <v>0</v>
      </c>
      <c r="I1517" s="1">
        <v>0</v>
      </c>
      <c r="J1517" s="1">
        <v>0</v>
      </c>
      <c r="K1517" s="1">
        <v>0</v>
      </c>
      <c r="L1517" s="2">
        <v>0</v>
      </c>
      <c r="M1517" s="1">
        <v>0</v>
      </c>
      <c r="N1517" s="1">
        <v>379.9</v>
      </c>
      <c r="O1517" s="1">
        <f t="shared" si="819"/>
        <v>2944225</v>
      </c>
      <c r="P1517" s="1">
        <v>0</v>
      </c>
      <c r="Q1517" s="1">
        <f t="shared" si="799"/>
        <v>0</v>
      </c>
      <c r="R1517" s="1">
        <v>313</v>
      </c>
      <c r="S1517" s="1">
        <f t="shared" si="818"/>
        <v>1174063</v>
      </c>
      <c r="T1517" s="1">
        <v>0</v>
      </c>
      <c r="U1517" s="1">
        <v>0</v>
      </c>
      <c r="V1517" s="1">
        <v>0</v>
      </c>
      <c r="W1517" s="1">
        <v>0</v>
      </c>
      <c r="X1517" s="1">
        <v>0</v>
      </c>
      <c r="Y1517" s="1">
        <v>0</v>
      </c>
      <c r="Z1517" s="1">
        <v>0</v>
      </c>
      <c r="AA1517" s="1">
        <v>0</v>
      </c>
      <c r="AB1517" s="1">
        <v>0</v>
      </c>
      <c r="AC1517" s="1">
        <v>0</v>
      </c>
      <c r="AD1517" s="1">
        <v>0</v>
      </c>
    </row>
    <row r="1518" spans="1:30" s="20" customFormat="1" ht="36" customHeight="1" x14ac:dyDescent="0.25">
      <c r="A1518" s="2">
        <f t="shared" si="795"/>
        <v>1463</v>
      </c>
      <c r="B1518" s="6">
        <f>A1518</f>
        <v>1463</v>
      </c>
      <c r="C1518" s="19" t="s">
        <v>229</v>
      </c>
      <c r="D1518" s="4">
        <f t="shared" si="816"/>
        <v>4118288</v>
      </c>
      <c r="E1518" s="1">
        <f t="shared" si="796"/>
        <v>0</v>
      </c>
      <c r="F1518" s="1">
        <v>0</v>
      </c>
      <c r="G1518" s="1">
        <v>0</v>
      </c>
      <c r="H1518" s="1">
        <v>0</v>
      </c>
      <c r="I1518" s="1">
        <v>0</v>
      </c>
      <c r="J1518" s="1">
        <v>0</v>
      </c>
      <c r="K1518" s="1">
        <v>0</v>
      </c>
      <c r="L1518" s="2">
        <v>0</v>
      </c>
      <c r="M1518" s="1">
        <v>0</v>
      </c>
      <c r="N1518" s="1">
        <v>379.9</v>
      </c>
      <c r="O1518" s="1">
        <f t="shared" si="819"/>
        <v>2944225</v>
      </c>
      <c r="P1518" s="1">
        <v>0</v>
      </c>
      <c r="Q1518" s="1">
        <f t="shared" si="799"/>
        <v>0</v>
      </c>
      <c r="R1518" s="1">
        <v>313</v>
      </c>
      <c r="S1518" s="1">
        <f t="shared" si="818"/>
        <v>1174063</v>
      </c>
      <c r="T1518" s="1">
        <v>0</v>
      </c>
      <c r="U1518" s="1">
        <v>0</v>
      </c>
      <c r="V1518" s="1">
        <v>0</v>
      </c>
      <c r="W1518" s="1">
        <v>0</v>
      </c>
      <c r="X1518" s="1">
        <v>0</v>
      </c>
      <c r="Y1518" s="1">
        <v>0</v>
      </c>
      <c r="Z1518" s="1">
        <v>0</v>
      </c>
      <c r="AA1518" s="1">
        <v>0</v>
      </c>
      <c r="AB1518" s="1">
        <v>0</v>
      </c>
      <c r="AC1518" s="1">
        <v>0</v>
      </c>
      <c r="AD1518" s="1">
        <v>0</v>
      </c>
    </row>
    <row r="1519" spans="1:30" s="20" customFormat="1" ht="36" customHeight="1" x14ac:dyDescent="0.25">
      <c r="A1519" s="2">
        <f t="shared" si="795"/>
        <v>1464</v>
      </c>
      <c r="B1519" s="6">
        <f t="shared" si="792"/>
        <v>1464</v>
      </c>
      <c r="C1519" s="19" t="s">
        <v>804</v>
      </c>
      <c r="D1519" s="4">
        <f t="shared" si="816"/>
        <v>6357500.3300000001</v>
      </c>
      <c r="E1519" s="1">
        <f t="shared" si="796"/>
        <v>1697169.9999999998</v>
      </c>
      <c r="F1519" s="1">
        <f>804*432.4</f>
        <v>347649.6</v>
      </c>
      <c r="G1519" s="1">
        <f>1693*432.4</f>
        <v>732053.2</v>
      </c>
      <c r="H1519" s="1">
        <f>390*432.4</f>
        <v>168636</v>
      </c>
      <c r="I1519" s="1">
        <f>571*432.4</f>
        <v>246900.4</v>
      </c>
      <c r="J1519" s="1">
        <f>467*432.4</f>
        <v>201930.8</v>
      </c>
      <c r="K1519" s="1">
        <v>0</v>
      </c>
      <c r="L1519" s="2">
        <v>0</v>
      </c>
      <c r="M1519" s="1">
        <v>0</v>
      </c>
      <c r="N1519" s="1">
        <v>371.68</v>
      </c>
      <c r="O1519" s="1">
        <f t="shared" si="819"/>
        <v>2880520</v>
      </c>
      <c r="P1519" s="1">
        <v>0</v>
      </c>
      <c r="Q1519" s="1">
        <f t="shared" si="799"/>
        <v>0</v>
      </c>
      <c r="R1519" s="1">
        <v>447.83</v>
      </c>
      <c r="S1519" s="1">
        <f>R1519*3751</f>
        <v>1679810.3299999998</v>
      </c>
      <c r="T1519" s="1">
        <v>0</v>
      </c>
      <c r="U1519" s="1">
        <v>50000</v>
      </c>
      <c r="V1519" s="1">
        <v>0</v>
      </c>
      <c r="W1519" s="1">
        <v>50000</v>
      </c>
      <c r="X1519" s="1">
        <v>0</v>
      </c>
      <c r="Y1519" s="1">
        <v>0</v>
      </c>
      <c r="Z1519" s="1">
        <v>0</v>
      </c>
      <c r="AA1519" s="1">
        <v>0</v>
      </c>
      <c r="AB1519" s="1">
        <v>0</v>
      </c>
      <c r="AC1519" s="1">
        <v>0</v>
      </c>
      <c r="AD1519" s="1">
        <v>0</v>
      </c>
    </row>
    <row r="1520" spans="1:30" s="20" customFormat="1" ht="36" customHeight="1" x14ac:dyDescent="0.25">
      <c r="A1520" s="2">
        <f t="shared" si="795"/>
        <v>1465</v>
      </c>
      <c r="B1520" s="6">
        <f t="shared" si="792"/>
        <v>1465</v>
      </c>
      <c r="C1520" s="19" t="s">
        <v>805</v>
      </c>
      <c r="D1520" s="4">
        <f t="shared" si="816"/>
        <v>6035139.5999999996</v>
      </c>
      <c r="E1520" s="1">
        <f t="shared" si="796"/>
        <v>1580597.4999999998</v>
      </c>
      <c r="F1520" s="1">
        <f>804*402.7</f>
        <v>323770.8</v>
      </c>
      <c r="G1520" s="1">
        <f>1693*402.7</f>
        <v>681771.1</v>
      </c>
      <c r="H1520" s="1">
        <f>390*402.7</f>
        <v>157053</v>
      </c>
      <c r="I1520" s="1">
        <f>571*402.7</f>
        <v>229941.69999999998</v>
      </c>
      <c r="J1520" s="1">
        <f>467*402.7</f>
        <v>188060.9</v>
      </c>
      <c r="K1520" s="1">
        <v>0</v>
      </c>
      <c r="L1520" s="2">
        <v>0</v>
      </c>
      <c r="M1520" s="1">
        <v>0</v>
      </c>
      <c r="N1520" s="1">
        <v>360</v>
      </c>
      <c r="O1520" s="1">
        <f t="shared" si="819"/>
        <v>2790000</v>
      </c>
      <c r="P1520" s="1">
        <v>0</v>
      </c>
      <c r="Q1520" s="1">
        <f>P1520*1400</f>
        <v>0</v>
      </c>
      <c r="R1520" s="1">
        <v>417.1</v>
      </c>
      <c r="S1520" s="1">
        <f>R1520*3751</f>
        <v>1564542.1</v>
      </c>
      <c r="T1520" s="1">
        <v>0</v>
      </c>
      <c r="U1520" s="1">
        <v>50000</v>
      </c>
      <c r="V1520" s="1">
        <v>0</v>
      </c>
      <c r="W1520" s="1">
        <v>50000</v>
      </c>
      <c r="X1520" s="1">
        <v>0</v>
      </c>
      <c r="Y1520" s="1">
        <v>0</v>
      </c>
      <c r="Z1520" s="1">
        <v>0</v>
      </c>
      <c r="AA1520" s="1">
        <v>0</v>
      </c>
      <c r="AB1520" s="1">
        <v>0</v>
      </c>
      <c r="AC1520" s="1">
        <v>0</v>
      </c>
      <c r="AD1520" s="1">
        <v>0</v>
      </c>
    </row>
    <row r="1521" spans="1:30" s="20" customFormat="1" ht="36" customHeight="1" x14ac:dyDescent="0.25">
      <c r="A1521" s="2">
        <f t="shared" si="795"/>
        <v>1466</v>
      </c>
      <c r="B1521" s="6">
        <f t="shared" si="792"/>
        <v>1466</v>
      </c>
      <c r="C1521" s="19" t="s">
        <v>806</v>
      </c>
      <c r="D1521" s="4">
        <f t="shared" si="816"/>
        <v>5840490.9000000004</v>
      </c>
      <c r="E1521" s="1">
        <f t="shared" si="796"/>
        <v>1528787.5</v>
      </c>
      <c r="F1521" s="1">
        <f>804*389.5</f>
        <v>313158</v>
      </c>
      <c r="G1521" s="1">
        <f>1693*389.5</f>
        <v>659423.5</v>
      </c>
      <c r="H1521" s="1">
        <f>390*389.5</f>
        <v>151905</v>
      </c>
      <c r="I1521" s="1">
        <f>571*389.5</f>
        <v>222404.5</v>
      </c>
      <c r="J1521" s="1">
        <f>467*389.5</f>
        <v>181896.5</v>
      </c>
      <c r="K1521" s="1">
        <v>0</v>
      </c>
      <c r="L1521" s="2">
        <v>0</v>
      </c>
      <c r="M1521" s="1">
        <v>0</v>
      </c>
      <c r="N1521" s="1">
        <v>348.2</v>
      </c>
      <c r="O1521" s="1">
        <f t="shared" si="819"/>
        <v>2698550</v>
      </c>
      <c r="P1521" s="1">
        <v>0</v>
      </c>
      <c r="Q1521" s="1">
        <f>P1521*1400</f>
        <v>0</v>
      </c>
      <c r="R1521" s="1">
        <v>403.4</v>
      </c>
      <c r="S1521" s="1">
        <f>R1521*3751</f>
        <v>1513153.4</v>
      </c>
      <c r="T1521" s="1">
        <v>0</v>
      </c>
      <c r="U1521" s="1">
        <v>50000</v>
      </c>
      <c r="V1521" s="1">
        <v>0</v>
      </c>
      <c r="W1521" s="1">
        <v>50000</v>
      </c>
      <c r="X1521" s="1">
        <v>0</v>
      </c>
      <c r="Y1521" s="1">
        <v>0</v>
      </c>
      <c r="Z1521" s="1">
        <v>0</v>
      </c>
      <c r="AA1521" s="1">
        <v>0</v>
      </c>
      <c r="AB1521" s="1">
        <v>0</v>
      </c>
      <c r="AC1521" s="1">
        <v>0</v>
      </c>
      <c r="AD1521" s="1">
        <v>0</v>
      </c>
    </row>
    <row r="1522" spans="1:30" s="20" customFormat="1" ht="36" customHeight="1" x14ac:dyDescent="0.25">
      <c r="A1522" s="2">
        <f t="shared" si="795"/>
        <v>1467</v>
      </c>
      <c r="B1522" s="6">
        <f t="shared" si="792"/>
        <v>1467</v>
      </c>
      <c r="C1522" s="19" t="s">
        <v>807</v>
      </c>
      <c r="D1522" s="4">
        <f t="shared" si="816"/>
        <v>5497452.3399999999</v>
      </c>
      <c r="E1522" s="1">
        <f t="shared" si="796"/>
        <v>1467950</v>
      </c>
      <c r="F1522" s="1">
        <f>804*374</f>
        <v>300696</v>
      </c>
      <c r="G1522" s="1">
        <f>1693*374</f>
        <v>633182</v>
      </c>
      <c r="H1522" s="1">
        <f>390*374</f>
        <v>145860</v>
      </c>
      <c r="I1522" s="1">
        <f>571*374</f>
        <v>213554</v>
      </c>
      <c r="J1522" s="1">
        <f>467*374</f>
        <v>174658</v>
      </c>
      <c r="K1522" s="1">
        <v>0</v>
      </c>
      <c r="L1522" s="2">
        <v>0</v>
      </c>
      <c r="M1522" s="1">
        <v>0</v>
      </c>
      <c r="N1522" s="1">
        <v>319.56</v>
      </c>
      <c r="O1522" s="1">
        <f t="shared" si="819"/>
        <v>2476590</v>
      </c>
      <c r="P1522" s="1">
        <v>0</v>
      </c>
      <c r="Q1522" s="1">
        <f>P1522*1400</f>
        <v>0</v>
      </c>
      <c r="R1522" s="1">
        <v>387.34</v>
      </c>
      <c r="S1522" s="1">
        <f>R1522*3751</f>
        <v>1452912.3399999999</v>
      </c>
      <c r="T1522" s="1">
        <v>0</v>
      </c>
      <c r="U1522" s="1">
        <v>50000</v>
      </c>
      <c r="V1522" s="1">
        <v>0</v>
      </c>
      <c r="W1522" s="1">
        <v>50000</v>
      </c>
      <c r="X1522" s="1">
        <v>0</v>
      </c>
      <c r="Y1522" s="1">
        <v>0</v>
      </c>
      <c r="Z1522" s="1">
        <v>0</v>
      </c>
      <c r="AA1522" s="1">
        <v>0</v>
      </c>
      <c r="AB1522" s="1">
        <v>0</v>
      </c>
      <c r="AC1522" s="1">
        <v>0</v>
      </c>
      <c r="AD1522" s="1">
        <v>0</v>
      </c>
    </row>
    <row r="1523" spans="1:30" s="20" customFormat="1" ht="54.95" customHeight="1" x14ac:dyDescent="0.25">
      <c r="A1523" s="3"/>
      <c r="B1523" s="47" t="s">
        <v>1981</v>
      </c>
      <c r="C1523" s="48"/>
      <c r="D1523" s="4">
        <f t="shared" ref="D1523:AD1523" si="820">SUM(D1524:D1789)</f>
        <v>3620786112.1999989</v>
      </c>
      <c r="E1523" s="4">
        <f t="shared" si="820"/>
        <v>2051932449.6700001</v>
      </c>
      <c r="F1523" s="4">
        <f t="shared" si="820"/>
        <v>450829340.04000032</v>
      </c>
      <c r="G1523" s="4">
        <f t="shared" si="820"/>
        <v>934262326.54999948</v>
      </c>
      <c r="H1523" s="4">
        <f t="shared" si="820"/>
        <v>189331408.49999997</v>
      </c>
      <c r="I1523" s="4">
        <f t="shared" si="820"/>
        <v>250797149.53000012</v>
      </c>
      <c r="J1523" s="4">
        <f t="shared" si="820"/>
        <v>226712225.04999995</v>
      </c>
      <c r="K1523" s="4">
        <f t="shared" si="820"/>
        <v>0</v>
      </c>
      <c r="L1523" s="17">
        <f t="shared" si="820"/>
        <v>114</v>
      </c>
      <c r="M1523" s="4">
        <f t="shared" si="820"/>
        <v>399000000</v>
      </c>
      <c r="N1523" s="4">
        <f t="shared" si="820"/>
        <v>42706.5</v>
      </c>
      <c r="O1523" s="4">
        <f t="shared" si="820"/>
        <v>281896722</v>
      </c>
      <c r="P1523" s="4">
        <f t="shared" si="820"/>
        <v>480</v>
      </c>
      <c r="Q1523" s="4">
        <f t="shared" si="820"/>
        <v>672000</v>
      </c>
      <c r="R1523" s="4">
        <f t="shared" si="820"/>
        <v>230928.03000000003</v>
      </c>
      <c r="S1523" s="4">
        <f t="shared" si="820"/>
        <v>862084940.52999997</v>
      </c>
      <c r="T1523" s="4">
        <f t="shared" si="820"/>
        <v>150000</v>
      </c>
      <c r="U1523" s="4">
        <f t="shared" si="820"/>
        <v>17800000</v>
      </c>
      <c r="V1523" s="4">
        <f t="shared" si="820"/>
        <v>0</v>
      </c>
      <c r="W1523" s="4">
        <f t="shared" si="820"/>
        <v>7250000</v>
      </c>
      <c r="X1523" s="4">
        <f t="shared" si="820"/>
        <v>0</v>
      </c>
      <c r="Y1523" s="4">
        <f t="shared" si="820"/>
        <v>0</v>
      </c>
      <c r="Z1523" s="4">
        <f t="shared" si="820"/>
        <v>0</v>
      </c>
      <c r="AA1523" s="4">
        <f t="shared" si="820"/>
        <v>0</v>
      </c>
      <c r="AB1523" s="4">
        <f t="shared" si="820"/>
        <v>0</v>
      </c>
      <c r="AC1523" s="4">
        <f t="shared" si="820"/>
        <v>0</v>
      </c>
      <c r="AD1523" s="4">
        <f t="shared" si="820"/>
        <v>0</v>
      </c>
    </row>
    <row r="1524" spans="1:30" s="20" customFormat="1" ht="36" customHeight="1" x14ac:dyDescent="0.25">
      <c r="A1524" s="2">
        <f t="shared" ref="A1524:A1594" si="821">ROW()-ROW($A$11)-45</f>
        <v>1468</v>
      </c>
      <c r="B1524" s="6">
        <f t="shared" si="792"/>
        <v>1468</v>
      </c>
      <c r="C1524" s="19" t="s">
        <v>809</v>
      </c>
      <c r="D1524" s="4">
        <f t="shared" ref="D1524:D1587" si="822">E1524+M1524+O1524+Q1524+S1524+T1524+U1524+V1524+W1524+X1524+Z1524+AA1524+AB1524+AC1524+AD1524</f>
        <v>7176900</v>
      </c>
      <c r="E1524" s="1">
        <f t="shared" ref="E1524:E1586" si="823">SUM(F1524:K1524)</f>
        <v>0</v>
      </c>
      <c r="F1524" s="1">
        <v>0</v>
      </c>
      <c r="G1524" s="1">
        <v>0</v>
      </c>
      <c r="H1524" s="1">
        <v>0</v>
      </c>
      <c r="I1524" s="1">
        <v>0</v>
      </c>
      <c r="J1524" s="1">
        <v>0</v>
      </c>
      <c r="K1524" s="1">
        <v>0</v>
      </c>
      <c r="L1524" s="2">
        <v>0</v>
      </c>
      <c r="M1524" s="1">
        <v>0</v>
      </c>
      <c r="N1524" s="1">
        <v>0</v>
      </c>
      <c r="O1524" s="1">
        <v>0</v>
      </c>
      <c r="P1524" s="1">
        <v>0</v>
      </c>
      <c r="Q1524" s="1">
        <f t="shared" ref="Q1524:Q1584" si="824">P1524*1400</f>
        <v>0</v>
      </c>
      <c r="R1524" s="1">
        <v>1900</v>
      </c>
      <c r="S1524" s="1">
        <f t="shared" ref="S1524:S1537" si="825">R1524*3751</f>
        <v>7126900</v>
      </c>
      <c r="T1524" s="1">
        <v>0</v>
      </c>
      <c r="U1524" s="1">
        <v>0</v>
      </c>
      <c r="V1524" s="1">
        <v>0</v>
      </c>
      <c r="W1524" s="1">
        <v>50000</v>
      </c>
      <c r="X1524" s="1">
        <v>0</v>
      </c>
      <c r="Y1524" s="1">
        <v>0</v>
      </c>
      <c r="Z1524" s="1">
        <v>0</v>
      </c>
      <c r="AA1524" s="1">
        <v>0</v>
      </c>
      <c r="AB1524" s="1">
        <v>0</v>
      </c>
      <c r="AC1524" s="1">
        <v>0</v>
      </c>
      <c r="AD1524" s="1">
        <v>0</v>
      </c>
    </row>
    <row r="1525" spans="1:30" s="20" customFormat="1" ht="36" customHeight="1" x14ac:dyDescent="0.25">
      <c r="A1525" s="2">
        <f t="shared" si="821"/>
        <v>1469</v>
      </c>
      <c r="B1525" s="6">
        <f t="shared" si="792"/>
        <v>1469</v>
      </c>
      <c r="C1525" s="19" t="s">
        <v>810</v>
      </c>
      <c r="D1525" s="4">
        <f t="shared" si="822"/>
        <v>11690075</v>
      </c>
      <c r="E1525" s="1">
        <f t="shared" si="823"/>
        <v>8026625</v>
      </c>
      <c r="F1525" s="1">
        <f>804*2045</f>
        <v>1644180</v>
      </c>
      <c r="G1525" s="1">
        <f>1693*2045</f>
        <v>3462185</v>
      </c>
      <c r="H1525" s="1">
        <f>390*2045</f>
        <v>797550</v>
      </c>
      <c r="I1525" s="1">
        <f>571*2045</f>
        <v>1167695</v>
      </c>
      <c r="J1525" s="1">
        <f>467*2045</f>
        <v>955015</v>
      </c>
      <c r="K1525" s="1">
        <v>0</v>
      </c>
      <c r="L1525" s="2">
        <v>0</v>
      </c>
      <c r="M1525" s="1">
        <v>0</v>
      </c>
      <c r="N1525" s="1">
        <v>0</v>
      </c>
      <c r="O1525" s="1">
        <v>0</v>
      </c>
      <c r="P1525" s="1">
        <v>0</v>
      </c>
      <c r="Q1525" s="1">
        <f t="shared" si="824"/>
        <v>0</v>
      </c>
      <c r="R1525" s="1">
        <v>950</v>
      </c>
      <c r="S1525" s="1">
        <f t="shared" si="825"/>
        <v>3563450</v>
      </c>
      <c r="T1525" s="1">
        <v>0</v>
      </c>
      <c r="U1525" s="1">
        <v>50000</v>
      </c>
      <c r="V1525" s="1">
        <v>0</v>
      </c>
      <c r="W1525" s="1">
        <v>50000</v>
      </c>
      <c r="X1525" s="1">
        <v>0</v>
      </c>
      <c r="Y1525" s="1">
        <v>0</v>
      </c>
      <c r="Z1525" s="1">
        <v>0</v>
      </c>
      <c r="AA1525" s="1">
        <v>0</v>
      </c>
      <c r="AB1525" s="1">
        <v>0</v>
      </c>
      <c r="AC1525" s="1">
        <v>0</v>
      </c>
      <c r="AD1525" s="1">
        <v>0</v>
      </c>
    </row>
    <row r="1526" spans="1:30" s="20" customFormat="1" ht="36" customHeight="1" x14ac:dyDescent="0.25">
      <c r="A1526" s="2">
        <f t="shared" si="821"/>
        <v>1470</v>
      </c>
      <c r="B1526" s="6">
        <f t="shared" si="792"/>
        <v>1470</v>
      </c>
      <c r="C1526" s="19" t="s">
        <v>811</v>
      </c>
      <c r="D1526" s="4">
        <f t="shared" si="822"/>
        <v>52290062.5</v>
      </c>
      <c r="E1526" s="1">
        <f>SUM(F1526:K1526)</f>
        <v>9492612.5</v>
      </c>
      <c r="F1526" s="1">
        <f>804*2418.5</f>
        <v>1944474</v>
      </c>
      <c r="G1526" s="1">
        <f>1693*2418.5</f>
        <v>4094520.5</v>
      </c>
      <c r="H1526" s="1">
        <f>390*2418.5</f>
        <v>943215</v>
      </c>
      <c r="I1526" s="1">
        <f>571*2418.5</f>
        <v>1380963.5</v>
      </c>
      <c r="J1526" s="1">
        <f>467*2418.5</f>
        <v>1129439.5</v>
      </c>
      <c r="K1526" s="1">
        <v>0</v>
      </c>
      <c r="L1526" s="2">
        <v>0</v>
      </c>
      <c r="M1526" s="1">
        <v>0</v>
      </c>
      <c r="N1526" s="1">
        <v>700</v>
      </c>
      <c r="O1526" s="1">
        <f>N1526*7750</f>
        <v>5425000</v>
      </c>
      <c r="P1526" s="1">
        <v>0</v>
      </c>
      <c r="Q1526" s="1">
        <f t="shared" si="824"/>
        <v>0</v>
      </c>
      <c r="R1526" s="1">
        <v>9950</v>
      </c>
      <c r="S1526" s="1">
        <f t="shared" si="825"/>
        <v>37322450</v>
      </c>
      <c r="T1526" s="1">
        <v>0</v>
      </c>
      <c r="U1526" s="1">
        <v>50000</v>
      </c>
      <c r="V1526" s="1">
        <v>0</v>
      </c>
      <c r="W1526" s="1">
        <v>0</v>
      </c>
      <c r="X1526" s="1">
        <v>0</v>
      </c>
      <c r="Y1526" s="1">
        <v>0</v>
      </c>
      <c r="Z1526" s="1">
        <v>0</v>
      </c>
      <c r="AA1526" s="1">
        <v>0</v>
      </c>
      <c r="AB1526" s="1">
        <v>0</v>
      </c>
      <c r="AC1526" s="1">
        <v>0</v>
      </c>
      <c r="AD1526" s="1">
        <v>0</v>
      </c>
    </row>
    <row r="1527" spans="1:30" s="20" customFormat="1" ht="36" customHeight="1" x14ac:dyDescent="0.25">
      <c r="A1527" s="2">
        <f t="shared" si="821"/>
        <v>1471</v>
      </c>
      <c r="B1527" s="6">
        <f t="shared" si="792"/>
        <v>1471</v>
      </c>
      <c r="C1527" s="19" t="s">
        <v>812</v>
      </c>
      <c r="D1527" s="4">
        <f t="shared" si="822"/>
        <v>10835210</v>
      </c>
      <c r="E1527" s="1">
        <f>SUM(F1527:K1527)</f>
        <v>7171760.0000000009</v>
      </c>
      <c r="F1527" s="1">
        <f>804*1827.2</f>
        <v>1469068.8</v>
      </c>
      <c r="G1527" s="1">
        <f>1693*1827.2</f>
        <v>3093449.6</v>
      </c>
      <c r="H1527" s="1">
        <f>390*1827.2</f>
        <v>712608</v>
      </c>
      <c r="I1527" s="1">
        <f>571*1827.2</f>
        <v>1043331.2000000001</v>
      </c>
      <c r="J1527" s="1">
        <f>467*1827.2</f>
        <v>853302.4</v>
      </c>
      <c r="K1527" s="1">
        <v>0</v>
      </c>
      <c r="L1527" s="2">
        <v>0</v>
      </c>
      <c r="M1527" s="1">
        <v>0</v>
      </c>
      <c r="N1527" s="1">
        <v>0</v>
      </c>
      <c r="O1527" s="1">
        <v>0</v>
      </c>
      <c r="P1527" s="1">
        <v>0</v>
      </c>
      <c r="Q1527" s="1">
        <f t="shared" si="824"/>
        <v>0</v>
      </c>
      <c r="R1527" s="1">
        <v>950</v>
      </c>
      <c r="S1527" s="1">
        <f t="shared" si="825"/>
        <v>3563450</v>
      </c>
      <c r="T1527" s="1">
        <v>0</v>
      </c>
      <c r="U1527" s="1">
        <v>50000</v>
      </c>
      <c r="V1527" s="1">
        <v>0</v>
      </c>
      <c r="W1527" s="1">
        <v>50000</v>
      </c>
      <c r="X1527" s="1">
        <v>0</v>
      </c>
      <c r="Y1527" s="1">
        <v>0</v>
      </c>
      <c r="Z1527" s="1">
        <v>0</v>
      </c>
      <c r="AA1527" s="1">
        <v>0</v>
      </c>
      <c r="AB1527" s="1">
        <v>0</v>
      </c>
      <c r="AC1527" s="1">
        <v>0</v>
      </c>
      <c r="AD1527" s="1">
        <v>0</v>
      </c>
    </row>
    <row r="1528" spans="1:30" s="20" customFormat="1" ht="36" customHeight="1" x14ac:dyDescent="0.25">
      <c r="A1528" s="2">
        <f t="shared" si="821"/>
        <v>1472</v>
      </c>
      <c r="B1528" s="6">
        <f t="shared" si="792"/>
        <v>1472</v>
      </c>
      <c r="C1528" s="19" t="s">
        <v>813</v>
      </c>
      <c r="D1528" s="4">
        <f t="shared" si="822"/>
        <v>14797955</v>
      </c>
      <c r="E1528" s="1">
        <f>SUM(F1528:K1528)</f>
        <v>7459854.9999999991</v>
      </c>
      <c r="F1528" s="1">
        <f>804*1900.6</f>
        <v>1528082.4</v>
      </c>
      <c r="G1528" s="1">
        <f>1693*1900.6</f>
        <v>3217715.8</v>
      </c>
      <c r="H1528" s="1">
        <f>390*1900.6</f>
        <v>741234</v>
      </c>
      <c r="I1528" s="1">
        <f>571*1900.6</f>
        <v>1085242.5999999999</v>
      </c>
      <c r="J1528" s="1">
        <f>467*1900.6</f>
        <v>887580.2</v>
      </c>
      <c r="K1528" s="1">
        <v>0</v>
      </c>
      <c r="L1528" s="2">
        <v>0</v>
      </c>
      <c r="M1528" s="1">
        <v>0</v>
      </c>
      <c r="N1528" s="1">
        <v>650</v>
      </c>
      <c r="O1528" s="1">
        <f>N1528*7750</f>
        <v>5037500</v>
      </c>
      <c r="P1528" s="1">
        <v>0</v>
      </c>
      <c r="Q1528" s="1">
        <f t="shared" si="824"/>
        <v>0</v>
      </c>
      <c r="R1528" s="1">
        <v>600</v>
      </c>
      <c r="S1528" s="1">
        <f t="shared" si="825"/>
        <v>2250600</v>
      </c>
      <c r="T1528" s="1">
        <v>0</v>
      </c>
      <c r="U1528" s="1">
        <v>50000</v>
      </c>
      <c r="V1528" s="1">
        <v>0</v>
      </c>
      <c r="W1528" s="1">
        <v>0</v>
      </c>
      <c r="X1528" s="1">
        <v>0</v>
      </c>
      <c r="Y1528" s="1">
        <v>0</v>
      </c>
      <c r="Z1528" s="1">
        <v>0</v>
      </c>
      <c r="AA1528" s="1">
        <v>0</v>
      </c>
      <c r="AB1528" s="1">
        <v>0</v>
      </c>
      <c r="AC1528" s="1">
        <v>0</v>
      </c>
      <c r="AD1528" s="1">
        <v>0</v>
      </c>
    </row>
    <row r="1529" spans="1:30" s="20" customFormat="1" ht="36" customHeight="1" x14ac:dyDescent="0.25">
      <c r="A1529" s="2">
        <f>ROW()-ROW($A$11)-45</f>
        <v>1473</v>
      </c>
      <c r="B1529" s="6">
        <f>A1529</f>
        <v>1473</v>
      </c>
      <c r="C1529" s="19" t="s">
        <v>808</v>
      </c>
      <c r="D1529" s="4">
        <f t="shared" si="822"/>
        <v>27841720</v>
      </c>
      <c r="E1529" s="1">
        <f>SUM(F1529:K1529)</f>
        <v>20427270</v>
      </c>
      <c r="F1529" s="1">
        <f>804*5204.4</f>
        <v>4184337.5999999996</v>
      </c>
      <c r="G1529" s="1">
        <f>1693*5204.4</f>
        <v>8811049.1999999993</v>
      </c>
      <c r="H1529" s="1">
        <f>390*5204.4</f>
        <v>2029715.9999999998</v>
      </c>
      <c r="I1529" s="1">
        <f>571*5204.4</f>
        <v>2971712.4</v>
      </c>
      <c r="J1529" s="1">
        <f>467*5204.4</f>
        <v>2430454.7999999998</v>
      </c>
      <c r="K1529" s="1">
        <v>0</v>
      </c>
      <c r="L1529" s="2">
        <v>0</v>
      </c>
      <c r="M1529" s="1">
        <v>0</v>
      </c>
      <c r="N1529" s="1">
        <v>0</v>
      </c>
      <c r="O1529" s="1">
        <f>N1529*7750</f>
        <v>0</v>
      </c>
      <c r="P1529" s="1">
        <v>0</v>
      </c>
      <c r="Q1529" s="1">
        <f>P1529*1400</f>
        <v>0</v>
      </c>
      <c r="R1529" s="1">
        <v>1950</v>
      </c>
      <c r="S1529" s="1">
        <f>R1529*3751</f>
        <v>7314450</v>
      </c>
      <c r="T1529" s="1">
        <v>0</v>
      </c>
      <c r="U1529" s="1">
        <v>50000</v>
      </c>
      <c r="V1529" s="1">
        <v>0</v>
      </c>
      <c r="W1529" s="1">
        <v>50000</v>
      </c>
      <c r="X1529" s="1">
        <v>0</v>
      </c>
      <c r="Y1529" s="1">
        <v>0</v>
      </c>
      <c r="Z1529" s="1">
        <v>0</v>
      </c>
      <c r="AA1529" s="1">
        <v>0</v>
      </c>
      <c r="AB1529" s="1">
        <v>0</v>
      </c>
      <c r="AC1529" s="1">
        <v>0</v>
      </c>
      <c r="AD1529" s="1">
        <v>0</v>
      </c>
    </row>
    <row r="1530" spans="1:30" s="20" customFormat="1" ht="36" customHeight="1" x14ac:dyDescent="0.25">
      <c r="A1530" s="2">
        <f t="shared" si="821"/>
        <v>1474</v>
      </c>
      <c r="B1530" s="6">
        <f>A1530</f>
        <v>1474</v>
      </c>
      <c r="C1530" s="19" t="s">
        <v>244</v>
      </c>
      <c r="D1530" s="4">
        <f t="shared" si="822"/>
        <v>3048408.9200000004</v>
      </c>
      <c r="E1530" s="1">
        <f t="shared" si="823"/>
        <v>2998408.9200000004</v>
      </c>
      <c r="F1530" s="1">
        <f>804*893.98</f>
        <v>718759.92</v>
      </c>
      <c r="G1530" s="1">
        <f>1693*893.98</f>
        <v>1513508.1400000001</v>
      </c>
      <c r="H1530" s="1">
        <f>390*893.98</f>
        <v>348652.2</v>
      </c>
      <c r="I1530" s="1">
        <v>0</v>
      </c>
      <c r="J1530" s="1">
        <f>467*893.98</f>
        <v>417488.66000000003</v>
      </c>
      <c r="K1530" s="1">
        <v>0</v>
      </c>
      <c r="L1530" s="2">
        <v>0</v>
      </c>
      <c r="M1530" s="1">
        <v>0</v>
      </c>
      <c r="N1530" s="1">
        <v>0</v>
      </c>
      <c r="O1530" s="1">
        <v>0</v>
      </c>
      <c r="P1530" s="1">
        <v>0</v>
      </c>
      <c r="Q1530" s="1">
        <f t="shared" si="824"/>
        <v>0</v>
      </c>
      <c r="R1530" s="1">
        <v>0</v>
      </c>
      <c r="S1530" s="1">
        <f t="shared" si="825"/>
        <v>0</v>
      </c>
      <c r="T1530" s="1">
        <v>0</v>
      </c>
      <c r="U1530" s="1">
        <v>50000</v>
      </c>
      <c r="V1530" s="1">
        <v>0</v>
      </c>
      <c r="W1530" s="1">
        <v>0</v>
      </c>
      <c r="X1530" s="1">
        <v>0</v>
      </c>
      <c r="Y1530" s="1">
        <v>0</v>
      </c>
      <c r="Z1530" s="1">
        <v>0</v>
      </c>
      <c r="AA1530" s="1">
        <v>0</v>
      </c>
      <c r="AB1530" s="1">
        <v>0</v>
      </c>
      <c r="AC1530" s="1">
        <v>0</v>
      </c>
      <c r="AD1530" s="1">
        <v>0</v>
      </c>
    </row>
    <row r="1531" spans="1:30" s="20" customFormat="1" ht="36" customHeight="1" x14ac:dyDescent="0.25">
      <c r="A1531" s="2">
        <f t="shared" si="821"/>
        <v>1475</v>
      </c>
      <c r="B1531" s="6">
        <f>A1531</f>
        <v>1475</v>
      </c>
      <c r="C1531" s="30" t="s">
        <v>253</v>
      </c>
      <c r="D1531" s="4">
        <f t="shared" si="822"/>
        <v>883615</v>
      </c>
      <c r="E1531" s="1">
        <f t="shared" si="823"/>
        <v>783615</v>
      </c>
      <c r="F1531" s="1">
        <v>0</v>
      </c>
      <c r="G1531" s="1">
        <f>1693*307.3</f>
        <v>520258.9</v>
      </c>
      <c r="H1531" s="1">
        <f>390*307.3</f>
        <v>119847</v>
      </c>
      <c r="I1531" s="1">
        <v>0</v>
      </c>
      <c r="J1531" s="1">
        <f>467*307.3</f>
        <v>143509.1</v>
      </c>
      <c r="K1531" s="1">
        <v>0</v>
      </c>
      <c r="L1531" s="2">
        <v>0</v>
      </c>
      <c r="M1531" s="1">
        <v>0</v>
      </c>
      <c r="N1531" s="1">
        <v>0</v>
      </c>
      <c r="O1531" s="1">
        <v>0</v>
      </c>
      <c r="P1531" s="1">
        <v>0</v>
      </c>
      <c r="Q1531" s="1">
        <f t="shared" si="824"/>
        <v>0</v>
      </c>
      <c r="R1531" s="1">
        <v>0</v>
      </c>
      <c r="S1531" s="1">
        <f t="shared" si="825"/>
        <v>0</v>
      </c>
      <c r="T1531" s="1">
        <v>0</v>
      </c>
      <c r="U1531" s="1">
        <v>50000</v>
      </c>
      <c r="V1531" s="1">
        <v>0</v>
      </c>
      <c r="W1531" s="1">
        <v>50000</v>
      </c>
      <c r="X1531" s="1">
        <v>0</v>
      </c>
      <c r="Y1531" s="1">
        <v>0</v>
      </c>
      <c r="Z1531" s="1">
        <v>0</v>
      </c>
      <c r="AA1531" s="1">
        <v>0</v>
      </c>
      <c r="AB1531" s="1">
        <v>0</v>
      </c>
      <c r="AC1531" s="1">
        <v>0</v>
      </c>
      <c r="AD1531" s="1">
        <v>0</v>
      </c>
    </row>
    <row r="1532" spans="1:30" s="20" customFormat="1" ht="36" customHeight="1" x14ac:dyDescent="0.25">
      <c r="A1532" s="2">
        <f t="shared" si="821"/>
        <v>1476</v>
      </c>
      <c r="B1532" s="6">
        <f>A1532</f>
        <v>1476</v>
      </c>
      <c r="C1532" s="30" t="s">
        <v>1643</v>
      </c>
      <c r="D1532" s="4">
        <f t="shared" si="822"/>
        <v>3245355.8000000003</v>
      </c>
      <c r="E1532" s="1">
        <f t="shared" si="823"/>
        <v>3195355.8000000003</v>
      </c>
      <c r="F1532" s="1">
        <f>804*952.7</f>
        <v>765970.8</v>
      </c>
      <c r="G1532" s="1">
        <f>1693*952.7</f>
        <v>1612921.1</v>
      </c>
      <c r="H1532" s="1">
        <f>390*952.7</f>
        <v>371553</v>
      </c>
      <c r="I1532" s="1">
        <v>0</v>
      </c>
      <c r="J1532" s="1">
        <f>467*952.7</f>
        <v>444910.9</v>
      </c>
      <c r="K1532" s="1">
        <v>0</v>
      </c>
      <c r="L1532" s="2">
        <v>0</v>
      </c>
      <c r="M1532" s="1">
        <v>0</v>
      </c>
      <c r="N1532" s="1">
        <v>0</v>
      </c>
      <c r="O1532" s="1">
        <v>0</v>
      </c>
      <c r="P1532" s="1">
        <v>0</v>
      </c>
      <c r="Q1532" s="1">
        <f t="shared" si="824"/>
        <v>0</v>
      </c>
      <c r="R1532" s="1">
        <v>0</v>
      </c>
      <c r="S1532" s="1">
        <f t="shared" si="825"/>
        <v>0</v>
      </c>
      <c r="T1532" s="1">
        <v>0</v>
      </c>
      <c r="U1532" s="1">
        <v>50000</v>
      </c>
      <c r="V1532" s="1">
        <v>0</v>
      </c>
      <c r="W1532" s="1">
        <v>0</v>
      </c>
      <c r="X1532" s="1">
        <v>0</v>
      </c>
      <c r="Y1532" s="1">
        <v>0</v>
      </c>
      <c r="Z1532" s="1">
        <v>0</v>
      </c>
      <c r="AA1532" s="1">
        <v>0</v>
      </c>
      <c r="AB1532" s="1">
        <v>0</v>
      </c>
      <c r="AC1532" s="1">
        <v>0</v>
      </c>
      <c r="AD1532" s="1">
        <v>0</v>
      </c>
    </row>
    <row r="1533" spans="1:30" s="20" customFormat="1" ht="36" customHeight="1" x14ac:dyDescent="0.25">
      <c r="A1533" s="2">
        <f t="shared" si="821"/>
        <v>1477</v>
      </c>
      <c r="B1533" s="6">
        <f t="shared" si="792"/>
        <v>1477</v>
      </c>
      <c r="C1533" s="30" t="s">
        <v>814</v>
      </c>
      <c r="D1533" s="4">
        <f t="shared" si="822"/>
        <v>17030878.799999997</v>
      </c>
      <c r="E1533" s="1">
        <f t="shared" si="823"/>
        <v>9230878.7999999989</v>
      </c>
      <c r="F1533" s="1">
        <f>804*2752.2</f>
        <v>2212768.7999999998</v>
      </c>
      <c r="G1533" s="1">
        <f>1693*2752.2</f>
        <v>4659474.5999999996</v>
      </c>
      <c r="H1533" s="1">
        <f>390*2752.2</f>
        <v>1073358</v>
      </c>
      <c r="I1533" s="1">
        <v>0</v>
      </c>
      <c r="J1533" s="1">
        <f>467*2752.2</f>
        <v>1285277.3999999999</v>
      </c>
      <c r="K1533" s="1">
        <v>0</v>
      </c>
      <c r="L1533" s="2">
        <v>0</v>
      </c>
      <c r="M1533" s="1">
        <v>0</v>
      </c>
      <c r="N1533" s="1">
        <v>1000</v>
      </c>
      <c r="O1533" s="1">
        <f>N1533*7750</f>
        <v>7750000</v>
      </c>
      <c r="P1533" s="1">
        <v>0</v>
      </c>
      <c r="Q1533" s="1">
        <f t="shared" si="824"/>
        <v>0</v>
      </c>
      <c r="R1533" s="1">
        <v>0</v>
      </c>
      <c r="S1533" s="1">
        <f t="shared" si="825"/>
        <v>0</v>
      </c>
      <c r="T1533" s="1">
        <v>0</v>
      </c>
      <c r="U1533" s="1">
        <v>50000</v>
      </c>
      <c r="V1533" s="1">
        <v>0</v>
      </c>
      <c r="W1533" s="1">
        <v>0</v>
      </c>
      <c r="X1533" s="1">
        <v>0</v>
      </c>
      <c r="Y1533" s="1">
        <v>0</v>
      </c>
      <c r="Z1533" s="1">
        <v>0</v>
      </c>
      <c r="AA1533" s="1">
        <v>0</v>
      </c>
      <c r="AB1533" s="1">
        <v>0</v>
      </c>
      <c r="AC1533" s="1">
        <v>0</v>
      </c>
      <c r="AD1533" s="1">
        <v>0</v>
      </c>
    </row>
    <row r="1534" spans="1:30" s="20" customFormat="1" ht="36" customHeight="1" x14ac:dyDescent="0.25">
      <c r="A1534" s="2">
        <f t="shared" si="821"/>
        <v>1478</v>
      </c>
      <c r="B1534" s="6">
        <f t="shared" si="792"/>
        <v>1478</v>
      </c>
      <c r="C1534" s="30" t="s">
        <v>815</v>
      </c>
      <c r="D1534" s="4">
        <f t="shared" si="822"/>
        <v>20677904.799999997</v>
      </c>
      <c r="E1534" s="1">
        <f t="shared" si="823"/>
        <v>9126904.7999999989</v>
      </c>
      <c r="F1534" s="1">
        <f>804*2721.2</f>
        <v>2187844.7999999998</v>
      </c>
      <c r="G1534" s="1">
        <f>1693*2721.2</f>
        <v>4606991.5999999996</v>
      </c>
      <c r="H1534" s="1">
        <f>390*2721.2</f>
        <v>1061268</v>
      </c>
      <c r="I1534" s="1">
        <v>0</v>
      </c>
      <c r="J1534" s="1">
        <f>467*2721.2</f>
        <v>1270800.3999999999</v>
      </c>
      <c r="K1534" s="1">
        <v>0</v>
      </c>
      <c r="L1534" s="2">
        <v>0</v>
      </c>
      <c r="M1534" s="1">
        <v>0</v>
      </c>
      <c r="N1534" s="1">
        <v>1000</v>
      </c>
      <c r="O1534" s="1">
        <f>N1534*7750</f>
        <v>7750000</v>
      </c>
      <c r="P1534" s="1">
        <v>0</v>
      </c>
      <c r="Q1534" s="1">
        <f t="shared" si="824"/>
        <v>0</v>
      </c>
      <c r="R1534" s="1">
        <v>1000</v>
      </c>
      <c r="S1534" s="1">
        <f t="shared" si="825"/>
        <v>3751000</v>
      </c>
      <c r="T1534" s="1">
        <v>0</v>
      </c>
      <c r="U1534" s="1">
        <v>50000</v>
      </c>
      <c r="V1534" s="1">
        <v>0</v>
      </c>
      <c r="W1534" s="1">
        <v>0</v>
      </c>
      <c r="X1534" s="1">
        <v>0</v>
      </c>
      <c r="Y1534" s="1">
        <v>0</v>
      </c>
      <c r="Z1534" s="1">
        <v>0</v>
      </c>
      <c r="AA1534" s="1">
        <v>0</v>
      </c>
      <c r="AB1534" s="1">
        <v>0</v>
      </c>
      <c r="AC1534" s="1">
        <v>0</v>
      </c>
      <c r="AD1534" s="1">
        <v>0</v>
      </c>
    </row>
    <row r="1535" spans="1:30" s="20" customFormat="1" ht="36" customHeight="1" x14ac:dyDescent="0.25">
      <c r="A1535" s="2">
        <f>ROW()-ROW($A$11)-45</f>
        <v>1479</v>
      </c>
      <c r="B1535" s="6">
        <f>A1535</f>
        <v>1479</v>
      </c>
      <c r="C1535" s="19" t="s">
        <v>2007</v>
      </c>
      <c r="D1535" s="4">
        <f t="shared" si="822"/>
        <v>10700000</v>
      </c>
      <c r="E1535" s="1">
        <f>SUM(F1535:K1535)</f>
        <v>0</v>
      </c>
      <c r="F1535" s="1">
        <v>0</v>
      </c>
      <c r="G1535" s="1">
        <v>0</v>
      </c>
      <c r="H1535" s="1">
        <v>0</v>
      </c>
      <c r="I1535" s="1">
        <v>0</v>
      </c>
      <c r="J1535" s="1">
        <v>0</v>
      </c>
      <c r="K1535" s="1">
        <v>0</v>
      </c>
      <c r="L1535" s="2">
        <v>3</v>
      </c>
      <c r="M1535" s="1">
        <f>L1535*3500000</f>
        <v>10500000</v>
      </c>
      <c r="N1535" s="1">
        <v>0</v>
      </c>
      <c r="O1535" s="1">
        <v>0</v>
      </c>
      <c r="P1535" s="1">
        <v>0</v>
      </c>
      <c r="Q1535" s="1">
        <f>P1535*1400</f>
        <v>0</v>
      </c>
      <c r="R1535" s="1">
        <v>0</v>
      </c>
      <c r="S1535" s="1">
        <f>R1535*3751</f>
        <v>0</v>
      </c>
      <c r="T1535" s="1">
        <v>0</v>
      </c>
      <c r="U1535" s="1">
        <v>200000</v>
      </c>
      <c r="V1535" s="1">
        <v>0</v>
      </c>
      <c r="W1535" s="1">
        <v>0</v>
      </c>
      <c r="X1535" s="1">
        <v>0</v>
      </c>
      <c r="Y1535" s="1">
        <v>0</v>
      </c>
      <c r="Z1535" s="1">
        <v>0</v>
      </c>
      <c r="AA1535" s="1">
        <v>0</v>
      </c>
      <c r="AB1535" s="1">
        <v>0</v>
      </c>
      <c r="AC1535" s="1">
        <v>0</v>
      </c>
      <c r="AD1535" s="1">
        <v>0</v>
      </c>
    </row>
    <row r="1536" spans="1:30" s="20" customFormat="1" ht="36" customHeight="1" x14ac:dyDescent="0.25">
      <c r="A1536" s="2">
        <f t="shared" si="821"/>
        <v>1480</v>
      </c>
      <c r="B1536" s="6">
        <f t="shared" si="792"/>
        <v>1480</v>
      </c>
      <c r="C1536" s="19" t="s">
        <v>817</v>
      </c>
      <c r="D1536" s="4">
        <f t="shared" si="822"/>
        <v>4087620</v>
      </c>
      <c r="E1536" s="1">
        <f t="shared" si="823"/>
        <v>2562240</v>
      </c>
      <c r="F1536" s="1">
        <f>804*652.8</f>
        <v>524851.19999999995</v>
      </c>
      <c r="G1536" s="1">
        <f>1693*652.8</f>
        <v>1105190.3999999999</v>
      </c>
      <c r="H1536" s="1">
        <f>390*652.8</f>
        <v>254591.99999999997</v>
      </c>
      <c r="I1536" s="1">
        <f>571*652.8</f>
        <v>372748.79999999999</v>
      </c>
      <c r="J1536" s="1">
        <f>467*652.8</f>
        <v>304857.59999999998</v>
      </c>
      <c r="K1536" s="1">
        <v>0</v>
      </c>
      <c r="L1536" s="2">
        <v>0</v>
      </c>
      <c r="M1536" s="1">
        <v>0</v>
      </c>
      <c r="N1536" s="1">
        <v>0</v>
      </c>
      <c r="O1536" s="1">
        <v>0</v>
      </c>
      <c r="P1536" s="1">
        <v>0</v>
      </c>
      <c r="Q1536" s="1">
        <f t="shared" si="824"/>
        <v>0</v>
      </c>
      <c r="R1536" s="1">
        <v>380</v>
      </c>
      <c r="S1536" s="1">
        <f t="shared" si="825"/>
        <v>1425380</v>
      </c>
      <c r="T1536" s="1">
        <v>0</v>
      </c>
      <c r="U1536" s="1">
        <v>50000</v>
      </c>
      <c r="V1536" s="1">
        <v>0</v>
      </c>
      <c r="W1536" s="1">
        <v>50000</v>
      </c>
      <c r="X1536" s="1">
        <v>0</v>
      </c>
      <c r="Y1536" s="1">
        <v>0</v>
      </c>
      <c r="Z1536" s="1">
        <v>0</v>
      </c>
      <c r="AA1536" s="1">
        <v>0</v>
      </c>
      <c r="AB1536" s="1">
        <v>0</v>
      </c>
      <c r="AC1536" s="1">
        <v>0</v>
      </c>
      <c r="AD1536" s="1">
        <v>0</v>
      </c>
    </row>
    <row r="1537" spans="1:30" s="20" customFormat="1" ht="36" customHeight="1" x14ac:dyDescent="0.25">
      <c r="A1537" s="2">
        <f t="shared" si="821"/>
        <v>1481</v>
      </c>
      <c r="B1537" s="6">
        <f t="shared" ref="B1537:B1554" si="826">A1537</f>
        <v>1481</v>
      </c>
      <c r="C1537" s="30" t="s">
        <v>1829</v>
      </c>
      <c r="D1537" s="4">
        <f t="shared" si="822"/>
        <v>21287645</v>
      </c>
      <c r="E1537" s="1">
        <f t="shared" si="823"/>
        <v>18349375</v>
      </c>
      <c r="F1537" s="1">
        <f>804*4675</f>
        <v>3758700</v>
      </c>
      <c r="G1537" s="1">
        <f>1693*4675</f>
        <v>7914775</v>
      </c>
      <c r="H1537" s="1">
        <f>390*4675</f>
        <v>1823250</v>
      </c>
      <c r="I1537" s="1">
        <f>571*4675</f>
        <v>2669425</v>
      </c>
      <c r="J1537" s="1">
        <f>467*4675</f>
        <v>2183225</v>
      </c>
      <c r="K1537" s="1">
        <v>0</v>
      </c>
      <c r="L1537" s="2">
        <v>0</v>
      </c>
      <c r="M1537" s="1">
        <v>0</v>
      </c>
      <c r="N1537" s="1">
        <v>0</v>
      </c>
      <c r="O1537" s="1">
        <v>0</v>
      </c>
      <c r="P1537" s="1">
        <v>0</v>
      </c>
      <c r="Q1537" s="1">
        <f t="shared" si="824"/>
        <v>0</v>
      </c>
      <c r="R1537" s="1">
        <v>770</v>
      </c>
      <c r="S1537" s="1">
        <f t="shared" si="825"/>
        <v>2888270</v>
      </c>
      <c r="T1537" s="1">
        <v>0</v>
      </c>
      <c r="U1537" s="1">
        <v>50000</v>
      </c>
      <c r="V1537" s="1">
        <v>0</v>
      </c>
      <c r="W1537" s="1">
        <v>0</v>
      </c>
      <c r="X1537" s="1">
        <v>0</v>
      </c>
      <c r="Y1537" s="1">
        <v>0</v>
      </c>
      <c r="Z1537" s="1">
        <v>0</v>
      </c>
      <c r="AA1537" s="1">
        <v>0</v>
      </c>
      <c r="AB1537" s="1">
        <v>0</v>
      </c>
      <c r="AC1537" s="1">
        <v>0</v>
      </c>
      <c r="AD1537" s="1">
        <v>0</v>
      </c>
    </row>
    <row r="1538" spans="1:30" s="20" customFormat="1" ht="36" customHeight="1" x14ac:dyDescent="0.25">
      <c r="A1538" s="2">
        <f t="shared" si="821"/>
        <v>1482</v>
      </c>
      <c r="B1538" s="2">
        <f t="shared" si="826"/>
        <v>1482</v>
      </c>
      <c r="C1538" s="30" t="s">
        <v>1830</v>
      </c>
      <c r="D1538" s="39">
        <f t="shared" si="822"/>
        <v>3541534.25</v>
      </c>
      <c r="E1538" s="1">
        <f t="shared" si="823"/>
        <v>2241214.25</v>
      </c>
      <c r="F1538" s="1">
        <f>804*571.01</f>
        <v>459092.04</v>
      </c>
      <c r="G1538" s="1">
        <f>1693*571.01</f>
        <v>966719.92999999993</v>
      </c>
      <c r="H1538" s="1">
        <f>390*571.01</f>
        <v>222693.9</v>
      </c>
      <c r="I1538" s="1">
        <f>571*571.01</f>
        <v>326046.71000000002</v>
      </c>
      <c r="J1538" s="1">
        <f>467*571.01</f>
        <v>266661.67</v>
      </c>
      <c r="K1538" s="1">
        <v>0</v>
      </c>
      <c r="L1538" s="2">
        <v>0</v>
      </c>
      <c r="M1538" s="1">
        <v>0</v>
      </c>
      <c r="N1538" s="1">
        <v>0</v>
      </c>
      <c r="O1538" s="1">
        <v>0</v>
      </c>
      <c r="P1538" s="1">
        <v>0</v>
      </c>
      <c r="Q1538" s="1">
        <f t="shared" si="824"/>
        <v>0</v>
      </c>
      <c r="R1538" s="1">
        <v>320</v>
      </c>
      <c r="S1538" s="1">
        <f t="shared" ref="S1538:S1553" si="827">R1538*3751</f>
        <v>1200320</v>
      </c>
      <c r="T1538" s="1">
        <v>0</v>
      </c>
      <c r="U1538" s="1">
        <v>50000</v>
      </c>
      <c r="V1538" s="1">
        <v>0</v>
      </c>
      <c r="W1538" s="1">
        <v>50000</v>
      </c>
      <c r="X1538" s="1">
        <v>0</v>
      </c>
      <c r="Y1538" s="1">
        <v>0</v>
      </c>
      <c r="Z1538" s="1">
        <v>0</v>
      </c>
      <c r="AA1538" s="1">
        <v>0</v>
      </c>
      <c r="AB1538" s="1">
        <v>0</v>
      </c>
      <c r="AC1538" s="1">
        <v>0</v>
      </c>
      <c r="AD1538" s="1">
        <v>0</v>
      </c>
    </row>
    <row r="1539" spans="1:30" s="20" customFormat="1" ht="36" customHeight="1" x14ac:dyDescent="0.25">
      <c r="A1539" s="2">
        <f t="shared" si="821"/>
        <v>1483</v>
      </c>
      <c r="B1539" s="2">
        <f t="shared" si="826"/>
        <v>1483</v>
      </c>
      <c r="C1539" s="30" t="s">
        <v>1831</v>
      </c>
      <c r="D1539" s="39">
        <f t="shared" si="822"/>
        <v>3858635</v>
      </c>
      <c r="E1539" s="1">
        <f t="shared" si="823"/>
        <v>2558315</v>
      </c>
      <c r="F1539" s="1">
        <f>804*651.8</f>
        <v>524047.19999999995</v>
      </c>
      <c r="G1539" s="1">
        <f>1693*651.8</f>
        <v>1103497.3999999999</v>
      </c>
      <c r="H1539" s="1">
        <f>390*651.8</f>
        <v>254201.99999999997</v>
      </c>
      <c r="I1539" s="1">
        <f>571*651.8</f>
        <v>372177.8</v>
      </c>
      <c r="J1539" s="1">
        <f>467*651.8</f>
        <v>304390.59999999998</v>
      </c>
      <c r="K1539" s="1">
        <v>0</v>
      </c>
      <c r="L1539" s="2">
        <v>0</v>
      </c>
      <c r="M1539" s="1">
        <v>0</v>
      </c>
      <c r="N1539" s="1">
        <v>0</v>
      </c>
      <c r="O1539" s="1">
        <v>0</v>
      </c>
      <c r="P1539" s="1">
        <v>0</v>
      </c>
      <c r="Q1539" s="1">
        <f>P1539*1400</f>
        <v>0</v>
      </c>
      <c r="R1539" s="1">
        <v>320</v>
      </c>
      <c r="S1539" s="1">
        <f>R1539*3751</f>
        <v>1200320</v>
      </c>
      <c r="T1539" s="1">
        <v>0</v>
      </c>
      <c r="U1539" s="1">
        <v>50000</v>
      </c>
      <c r="V1539" s="1">
        <v>0</v>
      </c>
      <c r="W1539" s="1">
        <v>50000</v>
      </c>
      <c r="X1539" s="1">
        <v>0</v>
      </c>
      <c r="Y1539" s="1">
        <v>0</v>
      </c>
      <c r="Z1539" s="1">
        <v>0</v>
      </c>
      <c r="AA1539" s="1">
        <v>0</v>
      </c>
      <c r="AB1539" s="1">
        <v>0</v>
      </c>
      <c r="AC1539" s="1">
        <v>0</v>
      </c>
      <c r="AD1539" s="1">
        <v>0</v>
      </c>
    </row>
    <row r="1540" spans="1:30" s="20" customFormat="1" ht="36" customHeight="1" x14ac:dyDescent="0.25">
      <c r="A1540" s="2">
        <f t="shared" si="821"/>
        <v>1484</v>
      </c>
      <c r="B1540" s="6">
        <f t="shared" si="826"/>
        <v>1484</v>
      </c>
      <c r="C1540" s="30" t="s">
        <v>1832</v>
      </c>
      <c r="D1540" s="4">
        <f t="shared" si="822"/>
        <v>3565437.5000000005</v>
      </c>
      <c r="E1540" s="1">
        <f t="shared" si="823"/>
        <v>2265117.5000000005</v>
      </c>
      <c r="F1540" s="1">
        <f>804*577.1</f>
        <v>463988.4</v>
      </c>
      <c r="G1540" s="1">
        <f>1693*577.1</f>
        <v>977030.3</v>
      </c>
      <c r="H1540" s="1">
        <f>390*577.1</f>
        <v>225069</v>
      </c>
      <c r="I1540" s="1">
        <f>571*577.1</f>
        <v>329524.10000000003</v>
      </c>
      <c r="J1540" s="1">
        <f>467*577.1</f>
        <v>269505.7</v>
      </c>
      <c r="K1540" s="1">
        <v>0</v>
      </c>
      <c r="L1540" s="2">
        <v>0</v>
      </c>
      <c r="M1540" s="1">
        <v>0</v>
      </c>
      <c r="N1540" s="1">
        <v>0</v>
      </c>
      <c r="O1540" s="1">
        <v>0</v>
      </c>
      <c r="P1540" s="1">
        <v>0</v>
      </c>
      <c r="Q1540" s="1">
        <f>P1540*1400</f>
        <v>0</v>
      </c>
      <c r="R1540" s="1">
        <v>320</v>
      </c>
      <c r="S1540" s="1">
        <f>R1540*3751</f>
        <v>1200320</v>
      </c>
      <c r="T1540" s="1">
        <v>0</v>
      </c>
      <c r="U1540" s="1">
        <v>50000</v>
      </c>
      <c r="V1540" s="1">
        <v>0</v>
      </c>
      <c r="W1540" s="1">
        <v>50000</v>
      </c>
      <c r="X1540" s="1">
        <v>0</v>
      </c>
      <c r="Y1540" s="1">
        <v>0</v>
      </c>
      <c r="Z1540" s="1">
        <v>0</v>
      </c>
      <c r="AA1540" s="1">
        <v>0</v>
      </c>
      <c r="AB1540" s="1">
        <v>0</v>
      </c>
      <c r="AC1540" s="1">
        <v>0</v>
      </c>
      <c r="AD1540" s="1">
        <v>0</v>
      </c>
    </row>
    <row r="1541" spans="1:30" s="20" customFormat="1" ht="36" customHeight="1" x14ac:dyDescent="0.25">
      <c r="A1541" s="2">
        <f t="shared" si="821"/>
        <v>1485</v>
      </c>
      <c r="B1541" s="6">
        <f t="shared" si="826"/>
        <v>1485</v>
      </c>
      <c r="C1541" s="19" t="s">
        <v>2511</v>
      </c>
      <c r="D1541" s="4">
        <f t="shared" si="822"/>
        <v>11434748.84</v>
      </c>
      <c r="E1541" s="1">
        <f t="shared" si="823"/>
        <v>7594998.8400000008</v>
      </c>
      <c r="F1541" s="1">
        <f>804*2264.46</f>
        <v>1820625.84</v>
      </c>
      <c r="G1541" s="1">
        <f>1693*2264.46</f>
        <v>3833730.7800000003</v>
      </c>
      <c r="H1541" s="1">
        <f>390*2264.46</f>
        <v>883139.4</v>
      </c>
      <c r="I1541" s="1">
        <v>0</v>
      </c>
      <c r="J1541" s="1">
        <f>467*2264.46</f>
        <v>1057502.82</v>
      </c>
      <c r="K1541" s="1">
        <v>0</v>
      </c>
      <c r="L1541" s="2">
        <v>0</v>
      </c>
      <c r="M1541" s="1">
        <v>0</v>
      </c>
      <c r="N1541" s="1">
        <v>489</v>
      </c>
      <c r="O1541" s="1">
        <f>N1541*7750</f>
        <v>3789750</v>
      </c>
      <c r="P1541" s="1">
        <v>0</v>
      </c>
      <c r="Q1541" s="1">
        <f t="shared" si="824"/>
        <v>0</v>
      </c>
      <c r="R1541" s="1">
        <v>0</v>
      </c>
      <c r="S1541" s="1">
        <f t="shared" si="827"/>
        <v>0</v>
      </c>
      <c r="T1541" s="1">
        <v>0</v>
      </c>
      <c r="U1541" s="1">
        <v>50000</v>
      </c>
      <c r="V1541" s="1">
        <v>0</v>
      </c>
      <c r="W1541" s="1">
        <v>0</v>
      </c>
      <c r="X1541" s="1">
        <v>0</v>
      </c>
      <c r="Y1541" s="1">
        <v>0</v>
      </c>
      <c r="Z1541" s="1">
        <v>0</v>
      </c>
      <c r="AA1541" s="1">
        <v>0</v>
      </c>
      <c r="AB1541" s="1">
        <v>0</v>
      </c>
      <c r="AC1541" s="1">
        <v>0</v>
      </c>
      <c r="AD1541" s="1">
        <v>0</v>
      </c>
    </row>
    <row r="1542" spans="1:30" s="20" customFormat="1" ht="36" customHeight="1" x14ac:dyDescent="0.25">
      <c r="A1542" s="2">
        <f t="shared" si="821"/>
        <v>1486</v>
      </c>
      <c r="B1542" s="6">
        <f t="shared" si="826"/>
        <v>1486</v>
      </c>
      <c r="C1542" s="19" t="s">
        <v>2512</v>
      </c>
      <c r="D1542" s="4">
        <f t="shared" si="822"/>
        <v>5663194.25</v>
      </c>
      <c r="E1542" s="1">
        <f t="shared" si="823"/>
        <v>3800224.25</v>
      </c>
      <c r="F1542" s="1">
        <f>804*968.21</f>
        <v>778440.84000000008</v>
      </c>
      <c r="G1542" s="1">
        <f>1693*968.21</f>
        <v>1639179.53</v>
      </c>
      <c r="H1542" s="1">
        <f>390*968.21</f>
        <v>377601.9</v>
      </c>
      <c r="I1542" s="1">
        <f>571*968.21</f>
        <v>552847.91</v>
      </c>
      <c r="J1542" s="1">
        <f>467*968.21</f>
        <v>452154.07</v>
      </c>
      <c r="K1542" s="1">
        <v>0</v>
      </c>
      <c r="L1542" s="2">
        <v>0</v>
      </c>
      <c r="M1542" s="1">
        <v>0</v>
      </c>
      <c r="N1542" s="1">
        <v>0</v>
      </c>
      <c r="O1542" s="1">
        <v>0</v>
      </c>
      <c r="P1542" s="1">
        <v>0</v>
      </c>
      <c r="Q1542" s="1">
        <f t="shared" si="824"/>
        <v>0</v>
      </c>
      <c r="R1542" s="1">
        <v>470</v>
      </c>
      <c r="S1542" s="1">
        <f t="shared" si="827"/>
        <v>1762970</v>
      </c>
      <c r="T1542" s="1">
        <v>0</v>
      </c>
      <c r="U1542" s="1">
        <v>50000</v>
      </c>
      <c r="V1542" s="1">
        <v>0</v>
      </c>
      <c r="W1542" s="1">
        <v>50000</v>
      </c>
      <c r="X1542" s="1">
        <v>0</v>
      </c>
      <c r="Y1542" s="1">
        <v>0</v>
      </c>
      <c r="Z1542" s="1">
        <v>0</v>
      </c>
      <c r="AA1542" s="1">
        <v>0</v>
      </c>
      <c r="AB1542" s="1">
        <v>0</v>
      </c>
      <c r="AC1542" s="1">
        <v>0</v>
      </c>
      <c r="AD1542" s="1">
        <v>0</v>
      </c>
    </row>
    <row r="1543" spans="1:30" s="20" customFormat="1" ht="36" customHeight="1" x14ac:dyDescent="0.25">
      <c r="A1543" s="2">
        <f t="shared" si="821"/>
        <v>1487</v>
      </c>
      <c r="B1543" s="6">
        <f t="shared" si="826"/>
        <v>1487</v>
      </c>
      <c r="C1543" s="19" t="s">
        <v>818</v>
      </c>
      <c r="D1543" s="4">
        <f t="shared" si="822"/>
        <v>16321451.250000002</v>
      </c>
      <c r="E1543" s="1">
        <f t="shared" si="823"/>
        <v>9469651.2500000019</v>
      </c>
      <c r="F1543" s="1">
        <f>804*2412.65</f>
        <v>1939770.6</v>
      </c>
      <c r="G1543" s="1">
        <f>1693*2412.65</f>
        <v>4084616.45</v>
      </c>
      <c r="H1543" s="1">
        <f>390*2412.65</f>
        <v>940933.5</v>
      </c>
      <c r="I1543" s="1">
        <f>571*2412.65</f>
        <v>1377623.1500000001</v>
      </c>
      <c r="J1543" s="1">
        <f>467*2412.65</f>
        <v>1126707.55</v>
      </c>
      <c r="K1543" s="1">
        <v>0</v>
      </c>
      <c r="L1543" s="2">
        <v>0</v>
      </c>
      <c r="M1543" s="1">
        <v>0</v>
      </c>
      <c r="N1543" s="1">
        <v>0</v>
      </c>
      <c r="O1543" s="1">
        <v>0</v>
      </c>
      <c r="P1543" s="1">
        <v>0</v>
      </c>
      <c r="Q1543" s="1">
        <f t="shared" si="824"/>
        <v>0</v>
      </c>
      <c r="R1543" s="1">
        <v>1800</v>
      </c>
      <c r="S1543" s="1">
        <f t="shared" si="827"/>
        <v>6751800</v>
      </c>
      <c r="T1543" s="1">
        <v>0</v>
      </c>
      <c r="U1543" s="1">
        <v>50000</v>
      </c>
      <c r="V1543" s="1">
        <v>0</v>
      </c>
      <c r="W1543" s="1">
        <v>50000</v>
      </c>
      <c r="X1543" s="1">
        <v>0</v>
      </c>
      <c r="Y1543" s="1">
        <v>0</v>
      </c>
      <c r="Z1543" s="1">
        <v>0</v>
      </c>
      <c r="AA1543" s="1">
        <v>0</v>
      </c>
      <c r="AB1543" s="1">
        <v>0</v>
      </c>
      <c r="AC1543" s="1">
        <v>0</v>
      </c>
      <c r="AD1543" s="1">
        <v>0</v>
      </c>
    </row>
    <row r="1544" spans="1:30" s="20" customFormat="1" ht="36" customHeight="1" x14ac:dyDescent="0.25">
      <c r="A1544" s="2">
        <f>ROW()-ROW($A$11)-45</f>
        <v>1488</v>
      </c>
      <c r="B1544" s="6">
        <f t="shared" ref="B1544" si="828">A1544</f>
        <v>1488</v>
      </c>
      <c r="C1544" s="19" t="s">
        <v>2513</v>
      </c>
      <c r="D1544" s="4">
        <f t="shared" si="822"/>
        <v>7200000</v>
      </c>
      <c r="E1544" s="1">
        <f t="shared" ref="E1544" si="829">SUM(F1544:K1544)</f>
        <v>0</v>
      </c>
      <c r="F1544" s="1">
        <v>0</v>
      </c>
      <c r="G1544" s="1">
        <v>0</v>
      </c>
      <c r="H1544" s="1">
        <v>0</v>
      </c>
      <c r="I1544" s="1">
        <v>0</v>
      </c>
      <c r="J1544" s="1">
        <v>0</v>
      </c>
      <c r="K1544" s="1">
        <v>0</v>
      </c>
      <c r="L1544" s="2">
        <v>2</v>
      </c>
      <c r="M1544" s="1">
        <f>L1544*3500000</f>
        <v>7000000</v>
      </c>
      <c r="N1544" s="1">
        <v>0</v>
      </c>
      <c r="O1544" s="1">
        <v>0</v>
      </c>
      <c r="P1544" s="1">
        <v>0</v>
      </c>
      <c r="Q1544" s="1">
        <f t="shared" ref="Q1544" si="830">P1544*1400</f>
        <v>0</v>
      </c>
      <c r="R1544" s="1">
        <v>0</v>
      </c>
      <c r="S1544" s="1">
        <f t="shared" ref="S1544" si="831">R1544*3751</f>
        <v>0</v>
      </c>
      <c r="T1544" s="1">
        <v>0</v>
      </c>
      <c r="U1544" s="1">
        <v>200000</v>
      </c>
      <c r="V1544" s="1">
        <v>0</v>
      </c>
      <c r="W1544" s="1">
        <v>0</v>
      </c>
      <c r="X1544" s="1">
        <v>0</v>
      </c>
      <c r="Y1544" s="1">
        <v>0</v>
      </c>
      <c r="Z1544" s="1">
        <v>0</v>
      </c>
      <c r="AA1544" s="1">
        <v>0</v>
      </c>
      <c r="AB1544" s="1">
        <v>0</v>
      </c>
      <c r="AC1544" s="1">
        <v>0</v>
      </c>
      <c r="AD1544" s="1">
        <v>0</v>
      </c>
    </row>
    <row r="1545" spans="1:30" s="20" customFormat="1" ht="36" customHeight="1" x14ac:dyDescent="0.25">
      <c r="A1545" s="2">
        <f>ROW()-ROW($A$11)-45</f>
        <v>1489</v>
      </c>
      <c r="B1545" s="6">
        <f>A1545</f>
        <v>1489</v>
      </c>
      <c r="C1545" s="19" t="s">
        <v>1925</v>
      </c>
      <c r="D1545" s="4">
        <f t="shared" si="822"/>
        <v>14200000</v>
      </c>
      <c r="E1545" s="1">
        <f>SUM(F1545:K1545)</f>
        <v>0</v>
      </c>
      <c r="F1545" s="1">
        <v>0</v>
      </c>
      <c r="G1545" s="1">
        <v>0</v>
      </c>
      <c r="H1545" s="1">
        <v>0</v>
      </c>
      <c r="I1545" s="1">
        <v>0</v>
      </c>
      <c r="J1545" s="1">
        <v>0</v>
      </c>
      <c r="K1545" s="1">
        <v>0</v>
      </c>
      <c r="L1545" s="2">
        <v>4</v>
      </c>
      <c r="M1545" s="1">
        <f>L1545*3500000</f>
        <v>14000000</v>
      </c>
      <c r="N1545" s="1">
        <v>0</v>
      </c>
      <c r="O1545" s="1">
        <v>0</v>
      </c>
      <c r="P1545" s="1">
        <v>0</v>
      </c>
      <c r="Q1545" s="1">
        <f>P1545*1400</f>
        <v>0</v>
      </c>
      <c r="R1545" s="1">
        <v>0</v>
      </c>
      <c r="S1545" s="1">
        <f>R1545*3751</f>
        <v>0</v>
      </c>
      <c r="T1545" s="1">
        <v>0</v>
      </c>
      <c r="U1545" s="1">
        <v>200000</v>
      </c>
      <c r="V1545" s="1">
        <v>0</v>
      </c>
      <c r="W1545" s="1">
        <v>0</v>
      </c>
      <c r="X1545" s="1">
        <v>0</v>
      </c>
      <c r="Y1545" s="1">
        <v>0</v>
      </c>
      <c r="Z1545" s="1">
        <v>0</v>
      </c>
      <c r="AA1545" s="1">
        <v>0</v>
      </c>
      <c r="AB1545" s="1">
        <v>0</v>
      </c>
      <c r="AC1545" s="1">
        <v>0</v>
      </c>
      <c r="AD1545" s="1">
        <v>0</v>
      </c>
    </row>
    <row r="1546" spans="1:30" s="20" customFormat="1" ht="36" customHeight="1" x14ac:dyDescent="0.25">
      <c r="A1546" s="2">
        <f t="shared" si="821"/>
        <v>1490</v>
      </c>
      <c r="B1546" s="6">
        <f t="shared" si="826"/>
        <v>1490</v>
      </c>
      <c r="C1546" s="19" t="s">
        <v>2514</v>
      </c>
      <c r="D1546" s="4">
        <f t="shared" si="822"/>
        <v>23073131.75</v>
      </c>
      <c r="E1546" s="1">
        <f t="shared" si="823"/>
        <v>16146311.750000002</v>
      </c>
      <c r="F1546" s="1">
        <f>804*4113.71</f>
        <v>3307422.84</v>
      </c>
      <c r="G1546" s="1">
        <f>1693*4113.71</f>
        <v>6964511.0300000003</v>
      </c>
      <c r="H1546" s="1">
        <f>390*4113.71</f>
        <v>1604346.9</v>
      </c>
      <c r="I1546" s="1">
        <f>571*4113.71</f>
        <v>2348928.41</v>
      </c>
      <c r="J1546" s="1">
        <f>467*4113.71</f>
        <v>1921102.57</v>
      </c>
      <c r="K1546" s="1">
        <v>0</v>
      </c>
      <c r="L1546" s="2">
        <v>0</v>
      </c>
      <c r="M1546" s="1">
        <v>0</v>
      </c>
      <c r="N1546" s="1">
        <v>0</v>
      </c>
      <c r="O1546" s="1">
        <v>0</v>
      </c>
      <c r="P1546" s="1">
        <v>0</v>
      </c>
      <c r="Q1546" s="1">
        <f t="shared" si="824"/>
        <v>0</v>
      </c>
      <c r="R1546" s="1">
        <v>1820</v>
      </c>
      <c r="S1546" s="1">
        <f t="shared" si="827"/>
        <v>6826820</v>
      </c>
      <c r="T1546" s="1">
        <v>0</v>
      </c>
      <c r="U1546" s="1">
        <v>50000</v>
      </c>
      <c r="V1546" s="1">
        <v>0</v>
      </c>
      <c r="W1546" s="1">
        <v>50000</v>
      </c>
      <c r="X1546" s="1">
        <v>0</v>
      </c>
      <c r="Y1546" s="1">
        <v>0</v>
      </c>
      <c r="Z1546" s="1">
        <v>0</v>
      </c>
      <c r="AA1546" s="1">
        <v>0</v>
      </c>
      <c r="AB1546" s="1">
        <v>0</v>
      </c>
      <c r="AC1546" s="1">
        <v>0</v>
      </c>
      <c r="AD1546" s="1">
        <v>0</v>
      </c>
    </row>
    <row r="1547" spans="1:30" s="20" customFormat="1" ht="36" customHeight="1" x14ac:dyDescent="0.25">
      <c r="A1547" s="2">
        <f t="shared" si="821"/>
        <v>1491</v>
      </c>
      <c r="B1547" s="6">
        <f t="shared" si="826"/>
        <v>1491</v>
      </c>
      <c r="C1547" s="19" t="s">
        <v>820</v>
      </c>
      <c r="D1547" s="4">
        <f t="shared" si="822"/>
        <v>19337800</v>
      </c>
      <c r="E1547" s="1">
        <f t="shared" si="823"/>
        <v>12786079.999999998</v>
      </c>
      <c r="F1547" s="1">
        <f>804*3257.6</f>
        <v>2619110.3999999999</v>
      </c>
      <c r="G1547" s="1">
        <f>1693*3257.6</f>
        <v>5515116.7999999998</v>
      </c>
      <c r="H1547" s="1">
        <f>390*3257.6</f>
        <v>1270464</v>
      </c>
      <c r="I1547" s="1">
        <f>571*3257.6</f>
        <v>1860089.5999999999</v>
      </c>
      <c r="J1547" s="1">
        <f>467*3257.6</f>
        <v>1521299.2</v>
      </c>
      <c r="K1547" s="1">
        <v>0</v>
      </c>
      <c r="L1547" s="2">
        <v>0</v>
      </c>
      <c r="M1547" s="1">
        <v>0</v>
      </c>
      <c r="N1547" s="1">
        <v>0</v>
      </c>
      <c r="O1547" s="1">
        <v>0</v>
      </c>
      <c r="P1547" s="1">
        <v>0</v>
      </c>
      <c r="Q1547" s="1">
        <f t="shared" si="824"/>
        <v>0</v>
      </c>
      <c r="R1547" s="1">
        <v>1720</v>
      </c>
      <c r="S1547" s="1">
        <f t="shared" si="827"/>
        <v>6451720</v>
      </c>
      <c r="T1547" s="1">
        <v>0</v>
      </c>
      <c r="U1547" s="1">
        <v>50000</v>
      </c>
      <c r="V1547" s="1">
        <v>0</v>
      </c>
      <c r="W1547" s="1">
        <v>50000</v>
      </c>
      <c r="X1547" s="1">
        <v>0</v>
      </c>
      <c r="Y1547" s="1">
        <v>0</v>
      </c>
      <c r="Z1547" s="1">
        <v>0</v>
      </c>
      <c r="AA1547" s="1">
        <v>0</v>
      </c>
      <c r="AB1547" s="1">
        <v>0</v>
      </c>
      <c r="AC1547" s="1">
        <v>0</v>
      </c>
      <c r="AD1547" s="1">
        <v>0</v>
      </c>
    </row>
    <row r="1548" spans="1:30" s="20" customFormat="1" ht="36" customHeight="1" x14ac:dyDescent="0.25">
      <c r="A1548" s="2">
        <f t="shared" si="821"/>
        <v>1492</v>
      </c>
      <c r="B1548" s="6">
        <f t="shared" si="826"/>
        <v>1492</v>
      </c>
      <c r="C1548" s="19" t="s">
        <v>822</v>
      </c>
      <c r="D1548" s="4">
        <f t="shared" si="822"/>
        <v>3750989</v>
      </c>
      <c r="E1548" s="1">
        <f t="shared" si="823"/>
        <v>2566950</v>
      </c>
      <c r="F1548" s="1">
        <f>804*654</f>
        <v>525816</v>
      </c>
      <c r="G1548" s="1">
        <f>1693*654</f>
        <v>1107222</v>
      </c>
      <c r="H1548" s="1">
        <f>390*654</f>
        <v>255060</v>
      </c>
      <c r="I1548" s="1">
        <f>571*654</f>
        <v>373434</v>
      </c>
      <c r="J1548" s="1">
        <f>467*654</f>
        <v>305418</v>
      </c>
      <c r="K1548" s="1">
        <v>0</v>
      </c>
      <c r="L1548" s="2">
        <v>0</v>
      </c>
      <c r="M1548" s="1">
        <v>0</v>
      </c>
      <c r="N1548" s="1">
        <v>0</v>
      </c>
      <c r="O1548" s="1">
        <v>0</v>
      </c>
      <c r="P1548" s="1">
        <v>0</v>
      </c>
      <c r="Q1548" s="1">
        <f t="shared" si="824"/>
        <v>0</v>
      </c>
      <c r="R1548" s="1">
        <v>289</v>
      </c>
      <c r="S1548" s="1">
        <f t="shared" si="827"/>
        <v>1084039</v>
      </c>
      <c r="T1548" s="1">
        <v>0</v>
      </c>
      <c r="U1548" s="1">
        <v>50000</v>
      </c>
      <c r="V1548" s="1">
        <v>0</v>
      </c>
      <c r="W1548" s="1">
        <v>50000</v>
      </c>
      <c r="X1548" s="1">
        <v>0</v>
      </c>
      <c r="Y1548" s="1">
        <v>0</v>
      </c>
      <c r="Z1548" s="1">
        <v>0</v>
      </c>
      <c r="AA1548" s="1">
        <v>0</v>
      </c>
      <c r="AB1548" s="1">
        <v>0</v>
      </c>
      <c r="AC1548" s="1">
        <v>0</v>
      </c>
      <c r="AD1548" s="1">
        <v>0</v>
      </c>
    </row>
    <row r="1549" spans="1:30" s="20" customFormat="1" ht="36" customHeight="1" x14ac:dyDescent="0.25">
      <c r="A1549" s="2">
        <f t="shared" si="821"/>
        <v>1493</v>
      </c>
      <c r="B1549" s="6">
        <f t="shared" si="826"/>
        <v>1493</v>
      </c>
      <c r="C1549" s="19" t="s">
        <v>823</v>
      </c>
      <c r="D1549" s="4">
        <f t="shared" si="822"/>
        <v>7409768.5</v>
      </c>
      <c r="E1549" s="1">
        <f t="shared" si="823"/>
        <v>2529348.5</v>
      </c>
      <c r="F1549" s="1">
        <f>804*644.42</f>
        <v>518113.68</v>
      </c>
      <c r="G1549" s="1">
        <f>1693*644.42</f>
        <v>1091003.0599999998</v>
      </c>
      <c r="H1549" s="1">
        <f>390*644.42</f>
        <v>251323.8</v>
      </c>
      <c r="I1549" s="1">
        <f>571*644.42</f>
        <v>367963.81999999995</v>
      </c>
      <c r="J1549" s="1">
        <f>467*644.42</f>
        <v>300944.13999999996</v>
      </c>
      <c r="K1549" s="1">
        <v>0</v>
      </c>
      <c r="L1549" s="2">
        <v>0</v>
      </c>
      <c r="M1549" s="1">
        <v>0</v>
      </c>
      <c r="N1549" s="1">
        <v>420</v>
      </c>
      <c r="O1549" s="1">
        <f>N1549*7750</f>
        <v>3255000</v>
      </c>
      <c r="P1549" s="1">
        <v>0</v>
      </c>
      <c r="Q1549" s="1">
        <f t="shared" si="824"/>
        <v>0</v>
      </c>
      <c r="R1549" s="1">
        <v>420</v>
      </c>
      <c r="S1549" s="1">
        <f t="shared" si="827"/>
        <v>1575420</v>
      </c>
      <c r="T1549" s="1">
        <v>0</v>
      </c>
      <c r="U1549" s="1">
        <v>50000</v>
      </c>
      <c r="V1549" s="1">
        <v>0</v>
      </c>
      <c r="W1549" s="1">
        <v>0</v>
      </c>
      <c r="X1549" s="1">
        <v>0</v>
      </c>
      <c r="Y1549" s="1">
        <v>0</v>
      </c>
      <c r="Z1549" s="1">
        <v>0</v>
      </c>
      <c r="AA1549" s="1">
        <v>0</v>
      </c>
      <c r="AB1549" s="1">
        <v>0</v>
      </c>
      <c r="AC1549" s="1">
        <v>0</v>
      </c>
      <c r="AD1549" s="1">
        <v>0</v>
      </c>
    </row>
    <row r="1550" spans="1:30" s="20" customFormat="1" ht="36" customHeight="1" x14ac:dyDescent="0.25">
      <c r="A1550" s="2">
        <f t="shared" si="821"/>
        <v>1494</v>
      </c>
      <c r="B1550" s="6">
        <f t="shared" si="826"/>
        <v>1494</v>
      </c>
      <c r="C1550" s="19" t="s">
        <v>824</v>
      </c>
      <c r="D1550" s="4">
        <f t="shared" si="822"/>
        <v>7417147.5</v>
      </c>
      <c r="E1550" s="1">
        <f t="shared" si="823"/>
        <v>2536727.5</v>
      </c>
      <c r="F1550" s="1">
        <f>804*646.3</f>
        <v>519625.19999999995</v>
      </c>
      <c r="G1550" s="1">
        <f>1693*646.3</f>
        <v>1094185.8999999999</v>
      </c>
      <c r="H1550" s="1">
        <f>390*646.3</f>
        <v>252056.99999999997</v>
      </c>
      <c r="I1550" s="1">
        <f>571*646.3</f>
        <v>369037.3</v>
      </c>
      <c r="J1550" s="1">
        <f>467*646.3</f>
        <v>301822.09999999998</v>
      </c>
      <c r="K1550" s="1">
        <v>0</v>
      </c>
      <c r="L1550" s="2">
        <v>0</v>
      </c>
      <c r="M1550" s="1">
        <v>0</v>
      </c>
      <c r="N1550" s="1">
        <v>420</v>
      </c>
      <c r="O1550" s="1">
        <f>N1550*7750</f>
        <v>3255000</v>
      </c>
      <c r="P1550" s="1">
        <v>0</v>
      </c>
      <c r="Q1550" s="1">
        <f t="shared" si="824"/>
        <v>0</v>
      </c>
      <c r="R1550" s="1">
        <v>420</v>
      </c>
      <c r="S1550" s="1">
        <f t="shared" si="827"/>
        <v>1575420</v>
      </c>
      <c r="T1550" s="1">
        <v>0</v>
      </c>
      <c r="U1550" s="1">
        <v>50000</v>
      </c>
      <c r="V1550" s="1">
        <v>0</v>
      </c>
      <c r="W1550" s="1">
        <v>0</v>
      </c>
      <c r="X1550" s="1">
        <v>0</v>
      </c>
      <c r="Y1550" s="1">
        <v>0</v>
      </c>
      <c r="Z1550" s="1">
        <v>0</v>
      </c>
      <c r="AA1550" s="1">
        <v>0</v>
      </c>
      <c r="AB1550" s="1">
        <v>0</v>
      </c>
      <c r="AC1550" s="1">
        <v>0</v>
      </c>
      <c r="AD1550" s="1">
        <v>0</v>
      </c>
    </row>
    <row r="1551" spans="1:30" s="20" customFormat="1" ht="36" customHeight="1" x14ac:dyDescent="0.25">
      <c r="A1551" s="2">
        <f t="shared" si="821"/>
        <v>1495</v>
      </c>
      <c r="B1551" s="6">
        <f t="shared" si="826"/>
        <v>1495</v>
      </c>
      <c r="C1551" s="19" t="s">
        <v>825</v>
      </c>
      <c r="D1551" s="4">
        <f t="shared" si="822"/>
        <v>3120892</v>
      </c>
      <c r="E1551" s="1">
        <f t="shared" si="823"/>
        <v>1820572.0000000002</v>
      </c>
      <c r="F1551" s="1">
        <f>804*463.84</f>
        <v>372927.36</v>
      </c>
      <c r="G1551" s="1">
        <f>1693*463.84</f>
        <v>785281.12</v>
      </c>
      <c r="H1551" s="1">
        <f>390*463.84</f>
        <v>180897.59999999998</v>
      </c>
      <c r="I1551" s="1">
        <f>571*463.84</f>
        <v>264852.64</v>
      </c>
      <c r="J1551" s="1">
        <f>467*463.84</f>
        <v>216613.28</v>
      </c>
      <c r="K1551" s="1">
        <v>0</v>
      </c>
      <c r="L1551" s="2">
        <v>0</v>
      </c>
      <c r="M1551" s="1">
        <v>0</v>
      </c>
      <c r="N1551" s="1">
        <v>0</v>
      </c>
      <c r="O1551" s="1">
        <v>0</v>
      </c>
      <c r="P1551" s="1">
        <v>0</v>
      </c>
      <c r="Q1551" s="1">
        <f t="shared" si="824"/>
        <v>0</v>
      </c>
      <c r="R1551" s="1">
        <v>320</v>
      </c>
      <c r="S1551" s="1">
        <f t="shared" si="827"/>
        <v>1200320</v>
      </c>
      <c r="T1551" s="1">
        <v>0</v>
      </c>
      <c r="U1551" s="1">
        <v>50000</v>
      </c>
      <c r="V1551" s="1">
        <v>0</v>
      </c>
      <c r="W1551" s="1">
        <v>50000</v>
      </c>
      <c r="X1551" s="1">
        <v>0</v>
      </c>
      <c r="Y1551" s="1">
        <v>0</v>
      </c>
      <c r="Z1551" s="1">
        <v>0</v>
      </c>
      <c r="AA1551" s="1">
        <v>0</v>
      </c>
      <c r="AB1551" s="1">
        <v>0</v>
      </c>
      <c r="AC1551" s="1">
        <v>0</v>
      </c>
      <c r="AD1551" s="1">
        <v>0</v>
      </c>
    </row>
    <row r="1552" spans="1:30" s="20" customFormat="1" ht="36" customHeight="1" x14ac:dyDescent="0.25">
      <c r="A1552" s="2">
        <f t="shared" si="821"/>
        <v>1496</v>
      </c>
      <c r="B1552" s="6">
        <f t="shared" si="826"/>
        <v>1496</v>
      </c>
      <c r="C1552" s="30" t="s">
        <v>826</v>
      </c>
      <c r="D1552" s="4">
        <f t="shared" si="822"/>
        <v>2902165</v>
      </c>
      <c r="E1552" s="1">
        <f t="shared" si="823"/>
        <v>1526825</v>
      </c>
      <c r="F1552" s="1">
        <f>804*389</f>
        <v>312756</v>
      </c>
      <c r="G1552" s="1">
        <f>1693*389</f>
        <v>658577</v>
      </c>
      <c r="H1552" s="1">
        <f>390*389</f>
        <v>151710</v>
      </c>
      <c r="I1552" s="1">
        <f>571*389</f>
        <v>222119</v>
      </c>
      <c r="J1552" s="1">
        <f>467*389</f>
        <v>181663</v>
      </c>
      <c r="K1552" s="1">
        <v>0</v>
      </c>
      <c r="L1552" s="2">
        <v>0</v>
      </c>
      <c r="M1552" s="1">
        <v>0</v>
      </c>
      <c r="N1552" s="1">
        <v>0</v>
      </c>
      <c r="O1552" s="1">
        <v>0</v>
      </c>
      <c r="P1552" s="1">
        <v>0</v>
      </c>
      <c r="Q1552" s="1">
        <f t="shared" si="824"/>
        <v>0</v>
      </c>
      <c r="R1552" s="1">
        <v>340</v>
      </c>
      <c r="S1552" s="1">
        <f t="shared" si="827"/>
        <v>1275340</v>
      </c>
      <c r="T1552" s="1">
        <v>0</v>
      </c>
      <c r="U1552" s="1">
        <v>50000</v>
      </c>
      <c r="V1552" s="1">
        <v>0</v>
      </c>
      <c r="W1552" s="1">
        <v>50000</v>
      </c>
      <c r="X1552" s="1">
        <v>0</v>
      </c>
      <c r="Y1552" s="1">
        <v>0</v>
      </c>
      <c r="Z1552" s="1">
        <v>0</v>
      </c>
      <c r="AA1552" s="1">
        <v>0</v>
      </c>
      <c r="AB1552" s="1">
        <v>0</v>
      </c>
      <c r="AC1552" s="1">
        <v>0</v>
      </c>
      <c r="AD1552" s="1">
        <v>0</v>
      </c>
    </row>
    <row r="1553" spans="1:30" s="20" customFormat="1" ht="36" customHeight="1" x14ac:dyDescent="0.25">
      <c r="A1553" s="2">
        <f t="shared" si="821"/>
        <v>1497</v>
      </c>
      <c r="B1553" s="6">
        <f t="shared" si="826"/>
        <v>1497</v>
      </c>
      <c r="C1553" s="19" t="s">
        <v>827</v>
      </c>
      <c r="D1553" s="4">
        <f t="shared" si="822"/>
        <v>5096653.5</v>
      </c>
      <c r="E1553" s="1">
        <f t="shared" si="823"/>
        <v>1457352.5000000002</v>
      </c>
      <c r="F1553" s="1">
        <f>804*371.3</f>
        <v>298525.2</v>
      </c>
      <c r="G1553" s="1">
        <f>1693*371.3</f>
        <v>628610.9</v>
      </c>
      <c r="H1553" s="1">
        <f>390*371.3</f>
        <v>144807</v>
      </c>
      <c r="I1553" s="1">
        <f>571*371.3</f>
        <v>212012.30000000002</v>
      </c>
      <c r="J1553" s="1">
        <f>467*371.3</f>
        <v>173397.1</v>
      </c>
      <c r="K1553" s="1">
        <v>0</v>
      </c>
      <c r="L1553" s="2">
        <v>0</v>
      </c>
      <c r="M1553" s="1">
        <v>0</v>
      </c>
      <c r="N1553" s="1">
        <v>311</v>
      </c>
      <c r="O1553" s="1">
        <f>N1553*7750</f>
        <v>2410250</v>
      </c>
      <c r="P1553" s="1">
        <v>0</v>
      </c>
      <c r="Q1553" s="1">
        <f t="shared" si="824"/>
        <v>0</v>
      </c>
      <c r="R1553" s="1">
        <v>301</v>
      </c>
      <c r="S1553" s="1">
        <f t="shared" si="827"/>
        <v>1129051</v>
      </c>
      <c r="T1553" s="1">
        <v>0</v>
      </c>
      <c r="U1553" s="1">
        <v>50000</v>
      </c>
      <c r="V1553" s="1">
        <v>0</v>
      </c>
      <c r="W1553" s="1">
        <v>50000</v>
      </c>
      <c r="X1553" s="1">
        <v>0</v>
      </c>
      <c r="Y1553" s="1">
        <v>0</v>
      </c>
      <c r="Z1553" s="1">
        <v>0</v>
      </c>
      <c r="AA1553" s="1">
        <v>0</v>
      </c>
      <c r="AB1553" s="1">
        <v>0</v>
      </c>
      <c r="AC1553" s="1">
        <v>0</v>
      </c>
      <c r="AD1553" s="1">
        <v>0</v>
      </c>
    </row>
    <row r="1554" spans="1:30" s="20" customFormat="1" ht="36" customHeight="1" x14ac:dyDescent="0.25">
      <c r="A1554" s="2">
        <f t="shared" si="821"/>
        <v>1498</v>
      </c>
      <c r="B1554" s="6">
        <f t="shared" si="826"/>
        <v>1498</v>
      </c>
      <c r="C1554" s="19" t="s">
        <v>2515</v>
      </c>
      <c r="D1554" s="4">
        <f t="shared" si="822"/>
        <v>2459987.5</v>
      </c>
      <c r="E1554" s="1">
        <f t="shared" si="823"/>
        <v>1122157.5</v>
      </c>
      <c r="F1554" s="1">
        <f>804*285.9</f>
        <v>229863.59999999998</v>
      </c>
      <c r="G1554" s="1">
        <f>1693*285.9</f>
        <v>484028.69999999995</v>
      </c>
      <c r="H1554" s="1">
        <f>390*285.9</f>
        <v>111500.99999999999</v>
      </c>
      <c r="I1554" s="1">
        <f>571*285.9</f>
        <v>163248.9</v>
      </c>
      <c r="J1554" s="1">
        <f>467*285.9</f>
        <v>133515.29999999999</v>
      </c>
      <c r="K1554" s="1">
        <v>0</v>
      </c>
      <c r="L1554" s="2">
        <v>0</v>
      </c>
      <c r="M1554" s="1">
        <v>0</v>
      </c>
      <c r="N1554" s="1">
        <v>0</v>
      </c>
      <c r="O1554" s="1">
        <v>0</v>
      </c>
      <c r="P1554" s="1">
        <v>0</v>
      </c>
      <c r="Q1554" s="1">
        <f>P1554*1400</f>
        <v>0</v>
      </c>
      <c r="R1554" s="1">
        <v>330</v>
      </c>
      <c r="S1554" s="1">
        <f>R1554*3751</f>
        <v>1237830</v>
      </c>
      <c r="T1554" s="1">
        <v>0</v>
      </c>
      <c r="U1554" s="1">
        <v>50000</v>
      </c>
      <c r="V1554" s="1">
        <v>0</v>
      </c>
      <c r="W1554" s="1">
        <v>50000</v>
      </c>
      <c r="X1554" s="1">
        <v>0</v>
      </c>
      <c r="Y1554" s="1">
        <v>0</v>
      </c>
      <c r="Z1554" s="1">
        <v>0</v>
      </c>
      <c r="AA1554" s="1">
        <v>0</v>
      </c>
      <c r="AB1554" s="1">
        <v>0</v>
      </c>
      <c r="AC1554" s="1">
        <v>0</v>
      </c>
      <c r="AD1554" s="1">
        <v>0</v>
      </c>
    </row>
    <row r="1555" spans="1:30" s="20" customFormat="1" ht="36" customHeight="1" x14ac:dyDescent="0.25">
      <c r="A1555" s="2">
        <f t="shared" si="821"/>
        <v>1499</v>
      </c>
      <c r="B1555" s="6">
        <f t="shared" ref="B1555:B1611" si="832">A1555</f>
        <v>1499</v>
      </c>
      <c r="C1555" s="19" t="s">
        <v>2516</v>
      </c>
      <c r="D1555" s="4">
        <f t="shared" si="822"/>
        <v>5651290.8000000007</v>
      </c>
      <c r="E1555" s="1">
        <f t="shared" si="823"/>
        <v>2113690.8000000003</v>
      </c>
      <c r="F1555" s="1">
        <f>804*630.2</f>
        <v>506680.80000000005</v>
      </c>
      <c r="G1555" s="1">
        <f>1693*630.2</f>
        <v>1066928.6000000001</v>
      </c>
      <c r="H1555" s="1">
        <f>390*630.2</f>
        <v>245778.00000000003</v>
      </c>
      <c r="I1555" s="1">
        <v>0</v>
      </c>
      <c r="J1555" s="1">
        <f>467*630.2</f>
        <v>294303.40000000002</v>
      </c>
      <c r="K1555" s="1">
        <v>0</v>
      </c>
      <c r="L1555" s="2">
        <v>0</v>
      </c>
      <c r="M1555" s="1">
        <v>0</v>
      </c>
      <c r="N1555" s="1">
        <v>400</v>
      </c>
      <c r="O1555" s="1">
        <f>N1555*4968</f>
        <v>1987200</v>
      </c>
      <c r="P1555" s="1">
        <v>0</v>
      </c>
      <c r="Q1555" s="1">
        <f t="shared" si="824"/>
        <v>0</v>
      </c>
      <c r="R1555" s="1">
        <v>400</v>
      </c>
      <c r="S1555" s="1">
        <f>R1555*3751</f>
        <v>1500400</v>
      </c>
      <c r="T1555" s="1">
        <v>0</v>
      </c>
      <c r="U1555" s="1">
        <v>50000</v>
      </c>
      <c r="V1555" s="1">
        <v>0</v>
      </c>
      <c r="W1555" s="1">
        <v>0</v>
      </c>
      <c r="X1555" s="1">
        <v>0</v>
      </c>
      <c r="Y1555" s="1">
        <v>0</v>
      </c>
      <c r="Z1555" s="1">
        <v>0</v>
      </c>
      <c r="AA1555" s="1">
        <v>0</v>
      </c>
      <c r="AB1555" s="1">
        <v>0</v>
      </c>
      <c r="AC1555" s="1">
        <v>0</v>
      </c>
      <c r="AD1555" s="1">
        <v>0</v>
      </c>
    </row>
    <row r="1556" spans="1:30" s="20" customFormat="1" ht="36" customHeight="1" x14ac:dyDescent="0.25">
      <c r="A1556" s="2">
        <f t="shared" si="821"/>
        <v>1500</v>
      </c>
      <c r="B1556" s="6">
        <f t="shared" si="832"/>
        <v>1500</v>
      </c>
      <c r="C1556" s="19" t="s">
        <v>828</v>
      </c>
      <c r="D1556" s="4">
        <f t="shared" si="822"/>
        <v>3487500</v>
      </c>
      <c r="E1556" s="1">
        <f t="shared" si="823"/>
        <v>0</v>
      </c>
      <c r="F1556" s="1">
        <v>0</v>
      </c>
      <c r="G1556" s="1">
        <v>0</v>
      </c>
      <c r="H1556" s="1">
        <v>0</v>
      </c>
      <c r="I1556" s="1">
        <v>0</v>
      </c>
      <c r="J1556" s="1">
        <v>0</v>
      </c>
      <c r="K1556" s="1">
        <v>0</v>
      </c>
      <c r="L1556" s="2">
        <v>0</v>
      </c>
      <c r="M1556" s="1">
        <v>0</v>
      </c>
      <c r="N1556" s="1">
        <v>450</v>
      </c>
      <c r="O1556" s="1">
        <f>N1556*7750</f>
        <v>3487500</v>
      </c>
      <c r="P1556" s="1">
        <v>0</v>
      </c>
      <c r="Q1556" s="1">
        <f t="shared" si="824"/>
        <v>0</v>
      </c>
      <c r="R1556" s="1">
        <v>0</v>
      </c>
      <c r="S1556" s="1">
        <f t="shared" ref="S1556:S1564" si="833">R1556*3751</f>
        <v>0</v>
      </c>
      <c r="T1556" s="1">
        <v>0</v>
      </c>
      <c r="U1556" s="1">
        <v>0</v>
      </c>
      <c r="V1556" s="1">
        <v>0</v>
      </c>
      <c r="W1556" s="1">
        <v>0</v>
      </c>
      <c r="X1556" s="1">
        <v>0</v>
      </c>
      <c r="Y1556" s="1">
        <v>0</v>
      </c>
      <c r="Z1556" s="1">
        <v>0</v>
      </c>
      <c r="AA1556" s="1">
        <v>0</v>
      </c>
      <c r="AB1556" s="1">
        <v>0</v>
      </c>
      <c r="AC1556" s="1">
        <v>0</v>
      </c>
      <c r="AD1556" s="1">
        <v>0</v>
      </c>
    </row>
    <row r="1557" spans="1:30" s="20" customFormat="1" ht="36" customHeight="1" x14ac:dyDescent="0.25">
      <c r="A1557" s="2">
        <f t="shared" si="821"/>
        <v>1501</v>
      </c>
      <c r="B1557" s="6">
        <f t="shared" si="832"/>
        <v>1501</v>
      </c>
      <c r="C1557" s="19" t="s">
        <v>829</v>
      </c>
      <c r="D1557" s="4">
        <f t="shared" si="822"/>
        <v>3487500</v>
      </c>
      <c r="E1557" s="1">
        <f t="shared" si="823"/>
        <v>0</v>
      </c>
      <c r="F1557" s="1">
        <v>0</v>
      </c>
      <c r="G1557" s="1">
        <v>0</v>
      </c>
      <c r="H1557" s="1">
        <v>0</v>
      </c>
      <c r="I1557" s="1">
        <v>0</v>
      </c>
      <c r="J1557" s="1">
        <v>0</v>
      </c>
      <c r="K1557" s="1">
        <v>0</v>
      </c>
      <c r="L1557" s="2">
        <v>0</v>
      </c>
      <c r="M1557" s="1">
        <v>0</v>
      </c>
      <c r="N1557" s="1">
        <v>450</v>
      </c>
      <c r="O1557" s="1">
        <f>N1557*7750</f>
        <v>3487500</v>
      </c>
      <c r="P1557" s="1">
        <v>0</v>
      </c>
      <c r="Q1557" s="1">
        <f t="shared" si="824"/>
        <v>0</v>
      </c>
      <c r="R1557" s="1">
        <v>0</v>
      </c>
      <c r="S1557" s="1">
        <f t="shared" si="833"/>
        <v>0</v>
      </c>
      <c r="T1557" s="1">
        <v>0</v>
      </c>
      <c r="U1557" s="1">
        <v>0</v>
      </c>
      <c r="V1557" s="1">
        <v>0</v>
      </c>
      <c r="W1557" s="1">
        <v>0</v>
      </c>
      <c r="X1557" s="1">
        <v>0</v>
      </c>
      <c r="Y1557" s="1">
        <v>0</v>
      </c>
      <c r="Z1557" s="1">
        <v>0</v>
      </c>
      <c r="AA1557" s="1">
        <v>0</v>
      </c>
      <c r="AB1557" s="1">
        <v>0</v>
      </c>
      <c r="AC1557" s="1">
        <v>0</v>
      </c>
      <c r="AD1557" s="1">
        <v>0</v>
      </c>
    </row>
    <row r="1558" spans="1:30" s="20" customFormat="1" ht="36" customHeight="1" x14ac:dyDescent="0.25">
      <c r="A1558" s="2">
        <f t="shared" si="821"/>
        <v>1502</v>
      </c>
      <c r="B1558" s="6">
        <f t="shared" si="832"/>
        <v>1502</v>
      </c>
      <c r="C1558" s="19" t="s">
        <v>832</v>
      </c>
      <c r="D1558" s="4">
        <f t="shared" si="822"/>
        <v>2647537.5</v>
      </c>
      <c r="E1558" s="1">
        <f t="shared" si="823"/>
        <v>1122157.5</v>
      </c>
      <c r="F1558" s="1">
        <f>804*285.9</f>
        <v>229863.59999999998</v>
      </c>
      <c r="G1558" s="1">
        <f>1693*285.9</f>
        <v>484028.69999999995</v>
      </c>
      <c r="H1558" s="1">
        <f>390*285.9</f>
        <v>111500.99999999999</v>
      </c>
      <c r="I1558" s="1">
        <f>571*285.9</f>
        <v>163248.9</v>
      </c>
      <c r="J1558" s="1">
        <f>467*285.9</f>
        <v>133515.29999999999</v>
      </c>
      <c r="K1558" s="1">
        <v>0</v>
      </c>
      <c r="L1558" s="2">
        <v>0</v>
      </c>
      <c r="M1558" s="1">
        <v>0</v>
      </c>
      <c r="N1558" s="1">
        <v>0</v>
      </c>
      <c r="O1558" s="1">
        <v>0</v>
      </c>
      <c r="P1558" s="1">
        <v>0</v>
      </c>
      <c r="Q1558" s="1">
        <f t="shared" ref="Q1558:Q1560" si="834">P1558*1400</f>
        <v>0</v>
      </c>
      <c r="R1558" s="1">
        <v>380</v>
      </c>
      <c r="S1558" s="1">
        <f t="shared" si="833"/>
        <v>1425380</v>
      </c>
      <c r="T1558" s="1">
        <v>0</v>
      </c>
      <c r="U1558" s="1">
        <v>50000</v>
      </c>
      <c r="V1558" s="1">
        <v>0</v>
      </c>
      <c r="W1558" s="1">
        <v>50000</v>
      </c>
      <c r="X1558" s="1">
        <v>0</v>
      </c>
      <c r="Y1558" s="1">
        <v>0</v>
      </c>
      <c r="Z1558" s="1">
        <v>0</v>
      </c>
      <c r="AA1558" s="1">
        <v>0</v>
      </c>
      <c r="AB1558" s="1">
        <v>0</v>
      </c>
      <c r="AC1558" s="1">
        <v>0</v>
      </c>
      <c r="AD1558" s="1">
        <v>0</v>
      </c>
    </row>
    <row r="1559" spans="1:30" s="20" customFormat="1" ht="36" customHeight="1" x14ac:dyDescent="0.25">
      <c r="A1559" s="2">
        <f t="shared" si="821"/>
        <v>1503</v>
      </c>
      <c r="B1559" s="6">
        <f t="shared" si="832"/>
        <v>1503</v>
      </c>
      <c r="C1559" s="19" t="s">
        <v>833</v>
      </c>
      <c r="D1559" s="4">
        <f t="shared" si="822"/>
        <v>2590703.5</v>
      </c>
      <c r="E1559" s="1">
        <f t="shared" si="823"/>
        <v>1065323.5</v>
      </c>
      <c r="F1559" s="1">
        <f>804*271.42</f>
        <v>218221.68000000002</v>
      </c>
      <c r="G1559" s="1">
        <f>1693*271.42</f>
        <v>459514.06000000006</v>
      </c>
      <c r="H1559" s="1">
        <f>390*271.42</f>
        <v>105853.8</v>
      </c>
      <c r="I1559" s="1">
        <f>571*271.42</f>
        <v>154980.82</v>
      </c>
      <c r="J1559" s="1">
        <f>467*271.42</f>
        <v>126753.14000000001</v>
      </c>
      <c r="K1559" s="1">
        <v>0</v>
      </c>
      <c r="L1559" s="2">
        <v>0</v>
      </c>
      <c r="M1559" s="1">
        <v>0</v>
      </c>
      <c r="N1559" s="1">
        <v>0</v>
      </c>
      <c r="O1559" s="1">
        <v>0</v>
      </c>
      <c r="P1559" s="1">
        <v>0</v>
      </c>
      <c r="Q1559" s="1">
        <f t="shared" si="834"/>
        <v>0</v>
      </c>
      <c r="R1559" s="1">
        <v>380</v>
      </c>
      <c r="S1559" s="1">
        <f t="shared" si="833"/>
        <v>1425380</v>
      </c>
      <c r="T1559" s="1">
        <v>0</v>
      </c>
      <c r="U1559" s="1">
        <v>50000</v>
      </c>
      <c r="V1559" s="1">
        <v>0</v>
      </c>
      <c r="W1559" s="1">
        <v>50000</v>
      </c>
      <c r="X1559" s="1">
        <v>0</v>
      </c>
      <c r="Y1559" s="1">
        <v>0</v>
      </c>
      <c r="Z1559" s="1">
        <v>0</v>
      </c>
      <c r="AA1559" s="1">
        <v>0</v>
      </c>
      <c r="AB1559" s="1">
        <v>0</v>
      </c>
      <c r="AC1559" s="1">
        <v>0</v>
      </c>
      <c r="AD1559" s="1">
        <v>0</v>
      </c>
    </row>
    <row r="1560" spans="1:30" s="20" customFormat="1" ht="36" customHeight="1" x14ac:dyDescent="0.25">
      <c r="A1560" s="2">
        <f t="shared" si="821"/>
        <v>1504</v>
      </c>
      <c r="B1560" s="6">
        <f t="shared" si="832"/>
        <v>1504</v>
      </c>
      <c r="C1560" s="19" t="s">
        <v>836</v>
      </c>
      <c r="D1560" s="4">
        <f t="shared" si="822"/>
        <v>2613782.5</v>
      </c>
      <c r="E1560" s="1">
        <f t="shared" si="823"/>
        <v>1088402.5000000002</v>
      </c>
      <c r="F1560" s="1">
        <f>804*277.3</f>
        <v>222949.2</v>
      </c>
      <c r="G1560" s="1">
        <f>1693*277.3</f>
        <v>469468.9</v>
      </c>
      <c r="H1560" s="1">
        <f>390*277.3</f>
        <v>108147</v>
      </c>
      <c r="I1560" s="1">
        <f>571*277.3</f>
        <v>158338.30000000002</v>
      </c>
      <c r="J1560" s="1">
        <f>467*277.3</f>
        <v>129499.1</v>
      </c>
      <c r="K1560" s="1">
        <v>0</v>
      </c>
      <c r="L1560" s="2">
        <v>0</v>
      </c>
      <c r="M1560" s="1">
        <v>0</v>
      </c>
      <c r="N1560" s="1">
        <v>0</v>
      </c>
      <c r="O1560" s="1">
        <v>0</v>
      </c>
      <c r="P1560" s="1">
        <v>0</v>
      </c>
      <c r="Q1560" s="1">
        <f t="shared" si="834"/>
        <v>0</v>
      </c>
      <c r="R1560" s="1">
        <v>380</v>
      </c>
      <c r="S1560" s="1">
        <f t="shared" si="833"/>
        <v>1425380</v>
      </c>
      <c r="T1560" s="1">
        <v>0</v>
      </c>
      <c r="U1560" s="1">
        <v>50000</v>
      </c>
      <c r="V1560" s="1">
        <v>0</v>
      </c>
      <c r="W1560" s="1">
        <v>50000</v>
      </c>
      <c r="X1560" s="1">
        <v>0</v>
      </c>
      <c r="Y1560" s="1">
        <v>0</v>
      </c>
      <c r="Z1560" s="1">
        <v>0</v>
      </c>
      <c r="AA1560" s="1">
        <v>0</v>
      </c>
      <c r="AB1560" s="1">
        <v>0</v>
      </c>
      <c r="AC1560" s="1">
        <v>0</v>
      </c>
      <c r="AD1560" s="1">
        <v>0</v>
      </c>
    </row>
    <row r="1561" spans="1:30" s="20" customFormat="1" ht="36" customHeight="1" x14ac:dyDescent="0.25">
      <c r="A1561" s="2">
        <f t="shared" si="821"/>
        <v>1505</v>
      </c>
      <c r="B1561" s="6">
        <f t="shared" si="832"/>
        <v>1505</v>
      </c>
      <c r="C1561" s="19" t="s">
        <v>837</v>
      </c>
      <c r="D1561" s="4">
        <f t="shared" si="822"/>
        <v>1108187</v>
      </c>
      <c r="E1561" s="1">
        <f t="shared" si="823"/>
        <v>1058187</v>
      </c>
      <c r="F1561" s="1">
        <f>804*315.5</f>
        <v>253662</v>
      </c>
      <c r="G1561" s="1">
        <f>1693*315.5</f>
        <v>534141.5</v>
      </c>
      <c r="H1561" s="1">
        <f>390*315.5</f>
        <v>123045</v>
      </c>
      <c r="I1561" s="1">
        <v>0</v>
      </c>
      <c r="J1561" s="1">
        <f>467*315.5</f>
        <v>147338.5</v>
      </c>
      <c r="K1561" s="1">
        <v>0</v>
      </c>
      <c r="L1561" s="2">
        <v>0</v>
      </c>
      <c r="M1561" s="1">
        <v>0</v>
      </c>
      <c r="N1561" s="1">
        <v>0</v>
      </c>
      <c r="O1561" s="1">
        <v>0</v>
      </c>
      <c r="P1561" s="1">
        <v>0</v>
      </c>
      <c r="Q1561" s="1">
        <f t="shared" si="824"/>
        <v>0</v>
      </c>
      <c r="R1561" s="1">
        <v>0</v>
      </c>
      <c r="S1561" s="1">
        <f t="shared" si="833"/>
        <v>0</v>
      </c>
      <c r="T1561" s="1">
        <v>0</v>
      </c>
      <c r="U1561" s="1">
        <v>50000</v>
      </c>
      <c r="V1561" s="1">
        <v>0</v>
      </c>
      <c r="W1561" s="1">
        <v>0</v>
      </c>
      <c r="X1561" s="1">
        <v>0</v>
      </c>
      <c r="Y1561" s="1">
        <v>0</v>
      </c>
      <c r="Z1561" s="1">
        <v>0</v>
      </c>
      <c r="AA1561" s="1">
        <v>0</v>
      </c>
      <c r="AB1561" s="1">
        <v>0</v>
      </c>
      <c r="AC1561" s="1">
        <v>0</v>
      </c>
      <c r="AD1561" s="1">
        <v>0</v>
      </c>
    </row>
    <row r="1562" spans="1:30" s="20" customFormat="1" ht="36" customHeight="1" x14ac:dyDescent="0.25">
      <c r="A1562" s="2">
        <f t="shared" si="821"/>
        <v>1506</v>
      </c>
      <c r="B1562" s="6">
        <f t="shared" ref="B1562" si="835">A1562</f>
        <v>1506</v>
      </c>
      <c r="C1562" s="19" t="s">
        <v>1932</v>
      </c>
      <c r="D1562" s="4">
        <f t="shared" si="822"/>
        <v>3700000</v>
      </c>
      <c r="E1562" s="1">
        <f t="shared" ref="E1562" si="836">SUM(F1562:K1562)</f>
        <v>0</v>
      </c>
      <c r="F1562" s="1">
        <v>0</v>
      </c>
      <c r="G1562" s="1">
        <v>0</v>
      </c>
      <c r="H1562" s="1">
        <v>0</v>
      </c>
      <c r="I1562" s="1">
        <v>0</v>
      </c>
      <c r="J1562" s="1">
        <v>0</v>
      </c>
      <c r="K1562" s="1">
        <v>0</v>
      </c>
      <c r="L1562" s="2">
        <v>1</v>
      </c>
      <c r="M1562" s="1">
        <f>L1562*3500000</f>
        <v>3500000</v>
      </c>
      <c r="N1562" s="1">
        <v>0</v>
      </c>
      <c r="O1562" s="1">
        <v>0</v>
      </c>
      <c r="P1562" s="1">
        <v>0</v>
      </c>
      <c r="Q1562" s="1">
        <f t="shared" ref="Q1562" si="837">P1562*1400</f>
        <v>0</v>
      </c>
      <c r="R1562" s="1">
        <v>0</v>
      </c>
      <c r="S1562" s="1">
        <f t="shared" ref="S1562" si="838">R1562*3751</f>
        <v>0</v>
      </c>
      <c r="T1562" s="1">
        <v>0</v>
      </c>
      <c r="U1562" s="1">
        <v>200000</v>
      </c>
      <c r="V1562" s="1">
        <v>0</v>
      </c>
      <c r="W1562" s="1">
        <v>0</v>
      </c>
      <c r="X1562" s="1">
        <v>0</v>
      </c>
      <c r="Y1562" s="1">
        <v>0</v>
      </c>
      <c r="Z1562" s="1">
        <v>0</v>
      </c>
      <c r="AA1562" s="1">
        <v>0</v>
      </c>
      <c r="AB1562" s="1">
        <v>0</v>
      </c>
      <c r="AC1562" s="1">
        <v>0</v>
      </c>
      <c r="AD1562" s="1">
        <v>0</v>
      </c>
    </row>
    <row r="1563" spans="1:30" s="20" customFormat="1" ht="35.25" customHeight="1" x14ac:dyDescent="0.25">
      <c r="A1563" s="2">
        <f t="shared" si="821"/>
        <v>1507</v>
      </c>
      <c r="B1563" s="6">
        <f>A1563</f>
        <v>1507</v>
      </c>
      <c r="C1563" s="19" t="s">
        <v>1865</v>
      </c>
      <c r="D1563" s="8">
        <f t="shared" si="822"/>
        <v>14200000</v>
      </c>
      <c r="E1563" s="1">
        <f>SUM(F1563:K1563)</f>
        <v>0</v>
      </c>
      <c r="F1563" s="1">
        <v>0</v>
      </c>
      <c r="G1563" s="1">
        <v>0</v>
      </c>
      <c r="H1563" s="1">
        <v>0</v>
      </c>
      <c r="I1563" s="1">
        <v>0</v>
      </c>
      <c r="J1563" s="1">
        <v>0</v>
      </c>
      <c r="K1563" s="1">
        <v>0</v>
      </c>
      <c r="L1563" s="2">
        <v>4</v>
      </c>
      <c r="M1563" s="1">
        <f>L1563*3500000</f>
        <v>14000000</v>
      </c>
      <c r="N1563" s="1">
        <v>0</v>
      </c>
      <c r="O1563" s="1">
        <v>0</v>
      </c>
      <c r="P1563" s="1">
        <v>0</v>
      </c>
      <c r="Q1563" s="1">
        <f>1400*P1563</f>
        <v>0</v>
      </c>
      <c r="R1563" s="1">
        <v>0</v>
      </c>
      <c r="S1563" s="1">
        <f>R1563*3751</f>
        <v>0</v>
      </c>
      <c r="T1563" s="1">
        <v>0</v>
      </c>
      <c r="U1563" s="1">
        <v>200000</v>
      </c>
      <c r="V1563" s="1">
        <v>0</v>
      </c>
      <c r="W1563" s="1">
        <v>0</v>
      </c>
      <c r="X1563" s="1">
        <v>0</v>
      </c>
      <c r="Y1563" s="1">
        <v>0</v>
      </c>
      <c r="Z1563" s="1">
        <v>0</v>
      </c>
      <c r="AA1563" s="1">
        <v>0</v>
      </c>
      <c r="AB1563" s="1">
        <v>0</v>
      </c>
      <c r="AC1563" s="1">
        <v>0</v>
      </c>
      <c r="AD1563" s="1">
        <v>0</v>
      </c>
    </row>
    <row r="1564" spans="1:30" s="20" customFormat="1" ht="36" customHeight="1" x14ac:dyDescent="0.25">
      <c r="A1564" s="2">
        <f t="shared" si="821"/>
        <v>1508</v>
      </c>
      <c r="B1564" s="6">
        <f t="shared" si="832"/>
        <v>1508</v>
      </c>
      <c r="C1564" s="30" t="s">
        <v>838</v>
      </c>
      <c r="D1564" s="4">
        <f t="shared" si="822"/>
        <v>29169331</v>
      </c>
      <c r="E1564" s="1">
        <f t="shared" si="823"/>
        <v>22401231</v>
      </c>
      <c r="F1564" s="1">
        <f>804*5707.32</f>
        <v>4588685.2799999993</v>
      </c>
      <c r="G1564" s="1">
        <f>1693*5707.32</f>
        <v>9662492.7599999998</v>
      </c>
      <c r="H1564" s="1">
        <f>390*5707.32</f>
        <v>2225854.7999999998</v>
      </c>
      <c r="I1564" s="1">
        <f>571*5707.32</f>
        <v>3258879.7199999997</v>
      </c>
      <c r="J1564" s="1">
        <f>467*5707.32</f>
        <v>2665318.44</v>
      </c>
      <c r="K1564" s="1">
        <v>0</v>
      </c>
      <c r="L1564" s="2">
        <v>0</v>
      </c>
      <c r="M1564" s="1">
        <v>0</v>
      </c>
      <c r="N1564" s="1">
        <v>570</v>
      </c>
      <c r="O1564" s="1">
        <f>N1564*7750</f>
        <v>4417500</v>
      </c>
      <c r="P1564" s="1">
        <v>0</v>
      </c>
      <c r="Q1564" s="1">
        <f>P1564*1400</f>
        <v>0</v>
      </c>
      <c r="R1564" s="1">
        <v>600</v>
      </c>
      <c r="S1564" s="1">
        <f t="shared" si="833"/>
        <v>2250600</v>
      </c>
      <c r="T1564" s="1">
        <v>0</v>
      </c>
      <c r="U1564" s="1">
        <v>50000</v>
      </c>
      <c r="V1564" s="1">
        <v>0</v>
      </c>
      <c r="W1564" s="1">
        <v>50000</v>
      </c>
      <c r="X1564" s="1">
        <v>0</v>
      </c>
      <c r="Y1564" s="1">
        <v>0</v>
      </c>
      <c r="Z1564" s="1">
        <v>0</v>
      </c>
      <c r="AA1564" s="1">
        <v>0</v>
      </c>
      <c r="AB1564" s="1">
        <v>0</v>
      </c>
      <c r="AC1564" s="1">
        <v>0</v>
      </c>
      <c r="AD1564" s="1">
        <v>0</v>
      </c>
    </row>
    <row r="1565" spans="1:30" s="20" customFormat="1" ht="36" customHeight="1" x14ac:dyDescent="0.25">
      <c r="A1565" s="2">
        <f t="shared" si="821"/>
        <v>1509</v>
      </c>
      <c r="B1565" s="6">
        <f t="shared" si="832"/>
        <v>1509</v>
      </c>
      <c r="C1565" s="30" t="s">
        <v>839</v>
      </c>
      <c r="D1565" s="4">
        <f t="shared" si="822"/>
        <v>21727606</v>
      </c>
      <c r="E1565" s="1">
        <f t="shared" si="823"/>
        <v>19114436</v>
      </c>
      <c r="F1565" s="1">
        <f>804*4869.92</f>
        <v>3915415.68</v>
      </c>
      <c r="G1565" s="1">
        <f>1693*4869.92</f>
        <v>8244774.5600000005</v>
      </c>
      <c r="H1565" s="1">
        <f>390*4869.92</f>
        <v>1899268.8</v>
      </c>
      <c r="I1565" s="1">
        <f>571*4869.92</f>
        <v>2780724.32</v>
      </c>
      <c r="J1565" s="1">
        <f>467*4869.92</f>
        <v>2274252.64</v>
      </c>
      <c r="K1565" s="1">
        <v>0</v>
      </c>
      <c r="L1565" s="2">
        <v>0</v>
      </c>
      <c r="M1565" s="1">
        <v>0</v>
      </c>
      <c r="N1565" s="1">
        <v>0</v>
      </c>
      <c r="O1565" s="1">
        <v>0</v>
      </c>
      <c r="P1565" s="1">
        <v>0</v>
      </c>
      <c r="Q1565" s="1">
        <f>P1565*1400</f>
        <v>0</v>
      </c>
      <c r="R1565" s="1">
        <v>670</v>
      </c>
      <c r="S1565" s="1">
        <f t="shared" ref="S1565:S1572" si="839">R1565*3751</f>
        <v>2513170</v>
      </c>
      <c r="T1565" s="1">
        <v>0</v>
      </c>
      <c r="U1565" s="1">
        <v>50000</v>
      </c>
      <c r="V1565" s="1">
        <v>0</v>
      </c>
      <c r="W1565" s="1">
        <v>50000</v>
      </c>
      <c r="X1565" s="1">
        <v>0</v>
      </c>
      <c r="Y1565" s="1">
        <v>0</v>
      </c>
      <c r="Z1565" s="1">
        <v>0</v>
      </c>
      <c r="AA1565" s="1">
        <v>0</v>
      </c>
      <c r="AB1565" s="1">
        <v>0</v>
      </c>
      <c r="AC1565" s="1">
        <v>0</v>
      </c>
      <c r="AD1565" s="1">
        <v>0</v>
      </c>
    </row>
    <row r="1566" spans="1:30" s="20" customFormat="1" ht="36" customHeight="1" x14ac:dyDescent="0.25">
      <c r="A1566" s="2">
        <f>ROW()-ROW($A$11)-45</f>
        <v>1510</v>
      </c>
      <c r="B1566" s="6">
        <f>A1566</f>
        <v>1510</v>
      </c>
      <c r="C1566" s="19" t="s">
        <v>1926</v>
      </c>
      <c r="D1566" s="4">
        <f t="shared" si="822"/>
        <v>7200000</v>
      </c>
      <c r="E1566" s="1">
        <f>SUM(F1566:K1566)</f>
        <v>0</v>
      </c>
      <c r="F1566" s="1">
        <v>0</v>
      </c>
      <c r="G1566" s="1">
        <v>0</v>
      </c>
      <c r="H1566" s="1">
        <v>0</v>
      </c>
      <c r="I1566" s="1">
        <v>0</v>
      </c>
      <c r="J1566" s="1">
        <v>0</v>
      </c>
      <c r="K1566" s="1">
        <v>0</v>
      </c>
      <c r="L1566" s="2">
        <v>2</v>
      </c>
      <c r="M1566" s="1">
        <f>L1566*3500000</f>
        <v>7000000</v>
      </c>
      <c r="N1566" s="1">
        <v>0</v>
      </c>
      <c r="O1566" s="1">
        <v>0</v>
      </c>
      <c r="P1566" s="1">
        <v>0</v>
      </c>
      <c r="Q1566" s="1">
        <f>P1566*1400</f>
        <v>0</v>
      </c>
      <c r="R1566" s="1">
        <v>0</v>
      </c>
      <c r="S1566" s="1">
        <f>R1566*3751</f>
        <v>0</v>
      </c>
      <c r="T1566" s="1">
        <v>0</v>
      </c>
      <c r="U1566" s="1">
        <v>200000</v>
      </c>
      <c r="V1566" s="1">
        <v>0</v>
      </c>
      <c r="W1566" s="1">
        <v>0</v>
      </c>
      <c r="X1566" s="1">
        <v>0</v>
      </c>
      <c r="Y1566" s="1">
        <v>0</v>
      </c>
      <c r="Z1566" s="1">
        <v>0</v>
      </c>
      <c r="AA1566" s="1">
        <v>0</v>
      </c>
      <c r="AB1566" s="1">
        <v>0</v>
      </c>
      <c r="AC1566" s="1">
        <v>0</v>
      </c>
      <c r="AD1566" s="1">
        <v>0</v>
      </c>
    </row>
    <row r="1567" spans="1:30" s="20" customFormat="1" ht="36" customHeight="1" x14ac:dyDescent="0.25">
      <c r="A1567" s="2">
        <f>ROW()-ROW($A$11)-45</f>
        <v>1511</v>
      </c>
      <c r="B1567" s="6">
        <f t="shared" ref="B1567" si="840">A1567</f>
        <v>1511</v>
      </c>
      <c r="C1567" s="19" t="s">
        <v>1927</v>
      </c>
      <c r="D1567" s="4">
        <f t="shared" si="822"/>
        <v>10700000</v>
      </c>
      <c r="E1567" s="1">
        <f t="shared" ref="E1567" si="841">SUM(F1567:K1567)</f>
        <v>0</v>
      </c>
      <c r="F1567" s="1">
        <v>0</v>
      </c>
      <c r="G1567" s="1">
        <v>0</v>
      </c>
      <c r="H1567" s="1">
        <v>0</v>
      </c>
      <c r="I1567" s="1">
        <v>0</v>
      </c>
      <c r="J1567" s="1">
        <v>0</v>
      </c>
      <c r="K1567" s="1">
        <v>0</v>
      </c>
      <c r="L1567" s="2">
        <v>3</v>
      </c>
      <c r="M1567" s="1">
        <f>L1567*3500000</f>
        <v>10500000</v>
      </c>
      <c r="N1567" s="1">
        <v>0</v>
      </c>
      <c r="O1567" s="1">
        <v>0</v>
      </c>
      <c r="P1567" s="1">
        <v>0</v>
      </c>
      <c r="Q1567" s="1">
        <f t="shared" ref="Q1567" si="842">P1567*1400</f>
        <v>0</v>
      </c>
      <c r="R1567" s="1">
        <v>0</v>
      </c>
      <c r="S1567" s="1">
        <f t="shared" ref="S1567" si="843">R1567*3751</f>
        <v>0</v>
      </c>
      <c r="T1567" s="1">
        <v>0</v>
      </c>
      <c r="U1567" s="1">
        <v>200000</v>
      </c>
      <c r="V1567" s="1">
        <v>0</v>
      </c>
      <c r="W1567" s="1">
        <v>0</v>
      </c>
      <c r="X1567" s="1">
        <v>0</v>
      </c>
      <c r="Y1567" s="1">
        <v>0</v>
      </c>
      <c r="Z1567" s="1">
        <v>0</v>
      </c>
      <c r="AA1567" s="1">
        <v>0</v>
      </c>
      <c r="AB1567" s="1">
        <v>0</v>
      </c>
      <c r="AC1567" s="1">
        <v>0</v>
      </c>
      <c r="AD1567" s="1">
        <v>0</v>
      </c>
    </row>
    <row r="1568" spans="1:30" s="20" customFormat="1" ht="36" customHeight="1" x14ac:dyDescent="0.25">
      <c r="A1568" s="2">
        <f>ROW()-ROW($A$11)-45</f>
        <v>1512</v>
      </c>
      <c r="B1568" s="6">
        <f t="shared" ref="B1568" si="844">A1568</f>
        <v>1512</v>
      </c>
      <c r="C1568" s="19" t="s">
        <v>1928</v>
      </c>
      <c r="D1568" s="4">
        <f t="shared" si="822"/>
        <v>7200000</v>
      </c>
      <c r="E1568" s="1">
        <f t="shared" ref="E1568" si="845">SUM(F1568:K1568)</f>
        <v>0</v>
      </c>
      <c r="F1568" s="1">
        <v>0</v>
      </c>
      <c r="G1568" s="1">
        <v>0</v>
      </c>
      <c r="H1568" s="1">
        <v>0</v>
      </c>
      <c r="I1568" s="1">
        <v>0</v>
      </c>
      <c r="J1568" s="1">
        <v>0</v>
      </c>
      <c r="K1568" s="1">
        <v>0</v>
      </c>
      <c r="L1568" s="2">
        <v>2</v>
      </c>
      <c r="M1568" s="1">
        <f>L1568*3500000</f>
        <v>7000000</v>
      </c>
      <c r="N1568" s="1">
        <v>0</v>
      </c>
      <c r="O1568" s="1">
        <v>0</v>
      </c>
      <c r="P1568" s="1">
        <v>0</v>
      </c>
      <c r="Q1568" s="1">
        <f t="shared" ref="Q1568" si="846">P1568*1400</f>
        <v>0</v>
      </c>
      <c r="R1568" s="1">
        <v>0</v>
      </c>
      <c r="S1568" s="1">
        <f t="shared" ref="S1568" si="847">R1568*3751</f>
        <v>0</v>
      </c>
      <c r="T1568" s="1">
        <v>0</v>
      </c>
      <c r="U1568" s="1">
        <v>200000</v>
      </c>
      <c r="V1568" s="1">
        <v>0</v>
      </c>
      <c r="W1568" s="1">
        <v>0</v>
      </c>
      <c r="X1568" s="1">
        <v>0</v>
      </c>
      <c r="Y1568" s="1">
        <v>0</v>
      </c>
      <c r="Z1568" s="1">
        <v>0</v>
      </c>
      <c r="AA1568" s="1">
        <v>0</v>
      </c>
      <c r="AB1568" s="1">
        <v>0</v>
      </c>
      <c r="AC1568" s="1">
        <v>0</v>
      </c>
      <c r="AD1568" s="1">
        <v>0</v>
      </c>
    </row>
    <row r="1569" spans="1:30" s="20" customFormat="1" ht="36" customHeight="1" x14ac:dyDescent="0.25">
      <c r="A1569" s="2">
        <f>ROW()-ROW($A$11)-45</f>
        <v>1513</v>
      </c>
      <c r="B1569" s="6">
        <f>A1569</f>
        <v>1513</v>
      </c>
      <c r="C1569" s="19" t="s">
        <v>1929</v>
      </c>
      <c r="D1569" s="4">
        <f t="shared" si="822"/>
        <v>17700000</v>
      </c>
      <c r="E1569" s="1">
        <f>SUM(F1569:K1569)</f>
        <v>0</v>
      </c>
      <c r="F1569" s="1">
        <v>0</v>
      </c>
      <c r="G1569" s="1">
        <v>0</v>
      </c>
      <c r="H1569" s="1">
        <v>0</v>
      </c>
      <c r="I1569" s="1">
        <v>0</v>
      </c>
      <c r="J1569" s="1">
        <v>0</v>
      </c>
      <c r="K1569" s="1">
        <v>0</v>
      </c>
      <c r="L1569" s="2">
        <v>5</v>
      </c>
      <c r="M1569" s="1">
        <f>L1569*3500000</f>
        <v>17500000</v>
      </c>
      <c r="N1569" s="1">
        <v>0</v>
      </c>
      <c r="O1569" s="1">
        <v>0</v>
      </c>
      <c r="P1569" s="1">
        <v>0</v>
      </c>
      <c r="Q1569" s="1">
        <f>P1569*1400</f>
        <v>0</v>
      </c>
      <c r="R1569" s="1">
        <v>0</v>
      </c>
      <c r="S1569" s="1">
        <f>R1569*3751</f>
        <v>0</v>
      </c>
      <c r="T1569" s="1">
        <v>0</v>
      </c>
      <c r="U1569" s="1">
        <v>200000</v>
      </c>
      <c r="V1569" s="1">
        <v>0</v>
      </c>
      <c r="W1569" s="1">
        <v>0</v>
      </c>
      <c r="X1569" s="1">
        <v>0</v>
      </c>
      <c r="Y1569" s="1">
        <v>0</v>
      </c>
      <c r="Z1569" s="1">
        <v>0</v>
      </c>
      <c r="AA1569" s="1">
        <v>0</v>
      </c>
      <c r="AB1569" s="1">
        <v>0</v>
      </c>
      <c r="AC1569" s="1">
        <v>0</v>
      </c>
      <c r="AD1569" s="1">
        <v>0</v>
      </c>
    </row>
    <row r="1570" spans="1:30" s="20" customFormat="1" ht="36" customHeight="1" x14ac:dyDescent="0.25">
      <c r="A1570" s="2">
        <f t="shared" si="821"/>
        <v>1514</v>
      </c>
      <c r="B1570" s="6">
        <f>A1570</f>
        <v>1514</v>
      </c>
      <c r="C1570" s="19" t="s">
        <v>1644</v>
      </c>
      <c r="D1570" s="4">
        <f t="shared" si="822"/>
        <v>22811417.900000002</v>
      </c>
      <c r="E1570" s="1">
        <f t="shared" si="823"/>
        <v>22761417.900000002</v>
      </c>
      <c r="F1570" s="1">
        <f>804*6786.35</f>
        <v>5456225.4000000004</v>
      </c>
      <c r="G1570" s="1">
        <f>1693*6786.35</f>
        <v>11489290.550000001</v>
      </c>
      <c r="H1570" s="1">
        <f>390*6786.35</f>
        <v>2646676.5</v>
      </c>
      <c r="I1570" s="1">
        <v>0</v>
      </c>
      <c r="J1570" s="1">
        <f>467*6786.35</f>
        <v>3169225.45</v>
      </c>
      <c r="K1570" s="1">
        <v>0</v>
      </c>
      <c r="L1570" s="2">
        <v>0</v>
      </c>
      <c r="M1570" s="1">
        <v>0</v>
      </c>
      <c r="N1570" s="1">
        <v>0</v>
      </c>
      <c r="O1570" s="1">
        <v>0</v>
      </c>
      <c r="P1570" s="1">
        <v>0</v>
      </c>
      <c r="Q1570" s="1">
        <f t="shared" si="824"/>
        <v>0</v>
      </c>
      <c r="R1570" s="1">
        <v>0</v>
      </c>
      <c r="S1570" s="1">
        <f t="shared" si="839"/>
        <v>0</v>
      </c>
      <c r="T1570" s="1">
        <v>0</v>
      </c>
      <c r="U1570" s="1">
        <v>50000</v>
      </c>
      <c r="V1570" s="1">
        <v>0</v>
      </c>
      <c r="W1570" s="1">
        <v>0</v>
      </c>
      <c r="X1570" s="1">
        <v>0</v>
      </c>
      <c r="Y1570" s="1">
        <v>0</v>
      </c>
      <c r="Z1570" s="1">
        <v>0</v>
      </c>
      <c r="AA1570" s="1">
        <v>0</v>
      </c>
      <c r="AB1570" s="1">
        <v>0</v>
      </c>
      <c r="AC1570" s="1">
        <v>0</v>
      </c>
      <c r="AD1570" s="1">
        <v>0</v>
      </c>
    </row>
    <row r="1571" spans="1:30" s="20" customFormat="1" ht="35.25" customHeight="1" x14ac:dyDescent="0.25">
      <c r="A1571" s="2">
        <f t="shared" si="821"/>
        <v>1515</v>
      </c>
      <c r="B1571" s="6">
        <f>A1571</f>
        <v>1515</v>
      </c>
      <c r="C1571" s="19" t="s">
        <v>1889</v>
      </c>
      <c r="D1571" s="8">
        <f t="shared" si="822"/>
        <v>7200000</v>
      </c>
      <c r="E1571" s="1">
        <f>SUM(F1571:K1571)</f>
        <v>0</v>
      </c>
      <c r="F1571" s="1">
        <v>0</v>
      </c>
      <c r="G1571" s="1">
        <v>0</v>
      </c>
      <c r="H1571" s="1">
        <v>0</v>
      </c>
      <c r="I1571" s="1">
        <v>0</v>
      </c>
      <c r="J1571" s="1">
        <v>0</v>
      </c>
      <c r="K1571" s="1">
        <v>0</v>
      </c>
      <c r="L1571" s="2">
        <v>2</v>
      </c>
      <c r="M1571" s="1">
        <f>L1571*3500000</f>
        <v>7000000</v>
      </c>
      <c r="N1571" s="1">
        <v>0</v>
      </c>
      <c r="O1571" s="1">
        <v>0</v>
      </c>
      <c r="P1571" s="1">
        <v>0</v>
      </c>
      <c r="Q1571" s="1">
        <f>1400*P1571</f>
        <v>0</v>
      </c>
      <c r="R1571" s="1">
        <v>0</v>
      </c>
      <c r="S1571" s="1">
        <f>R1571*3751</f>
        <v>0</v>
      </c>
      <c r="T1571" s="1">
        <v>0</v>
      </c>
      <c r="U1571" s="1">
        <v>200000</v>
      </c>
      <c r="V1571" s="1">
        <v>0</v>
      </c>
      <c r="W1571" s="1">
        <v>0</v>
      </c>
      <c r="X1571" s="1">
        <v>0</v>
      </c>
      <c r="Y1571" s="1">
        <v>0</v>
      </c>
      <c r="Z1571" s="1">
        <v>0</v>
      </c>
      <c r="AA1571" s="1">
        <v>0</v>
      </c>
      <c r="AB1571" s="1">
        <v>0</v>
      </c>
      <c r="AC1571" s="1">
        <v>0</v>
      </c>
      <c r="AD1571" s="1">
        <v>0</v>
      </c>
    </row>
    <row r="1572" spans="1:30" s="20" customFormat="1" ht="36" customHeight="1" x14ac:dyDescent="0.25">
      <c r="A1572" s="2">
        <f t="shared" si="821"/>
        <v>1516</v>
      </c>
      <c r="B1572" s="6">
        <f t="shared" si="832"/>
        <v>1516</v>
      </c>
      <c r="C1572" s="30" t="s">
        <v>844</v>
      </c>
      <c r="D1572" s="4">
        <f t="shared" si="822"/>
        <v>6826820</v>
      </c>
      <c r="E1572" s="1">
        <f t="shared" si="823"/>
        <v>0</v>
      </c>
      <c r="F1572" s="1">
        <v>0</v>
      </c>
      <c r="G1572" s="1">
        <v>0</v>
      </c>
      <c r="H1572" s="1">
        <v>0</v>
      </c>
      <c r="I1572" s="1">
        <v>0</v>
      </c>
      <c r="J1572" s="1">
        <v>0</v>
      </c>
      <c r="K1572" s="1">
        <v>0</v>
      </c>
      <c r="L1572" s="2">
        <v>0</v>
      </c>
      <c r="M1572" s="1">
        <v>0</v>
      </c>
      <c r="N1572" s="1">
        <v>0</v>
      </c>
      <c r="O1572" s="1">
        <v>0</v>
      </c>
      <c r="P1572" s="1">
        <v>0</v>
      </c>
      <c r="Q1572" s="1">
        <f t="shared" si="824"/>
        <v>0</v>
      </c>
      <c r="R1572" s="1">
        <v>1820</v>
      </c>
      <c r="S1572" s="1">
        <f t="shared" si="839"/>
        <v>6826820</v>
      </c>
      <c r="T1572" s="1">
        <v>0</v>
      </c>
      <c r="U1572" s="1">
        <v>0</v>
      </c>
      <c r="V1572" s="1">
        <v>0</v>
      </c>
      <c r="W1572" s="1">
        <v>0</v>
      </c>
      <c r="X1572" s="1">
        <v>0</v>
      </c>
      <c r="Y1572" s="1">
        <v>0</v>
      </c>
      <c r="Z1572" s="1">
        <v>0</v>
      </c>
      <c r="AA1572" s="1">
        <v>0</v>
      </c>
      <c r="AB1572" s="1">
        <v>0</v>
      </c>
      <c r="AC1572" s="1">
        <v>0</v>
      </c>
      <c r="AD1572" s="1">
        <v>0</v>
      </c>
    </row>
    <row r="1573" spans="1:30" s="20" customFormat="1" ht="36" customHeight="1" x14ac:dyDescent="0.25">
      <c r="A1573" s="2">
        <f t="shared" si="821"/>
        <v>1517</v>
      </c>
      <c r="B1573" s="6">
        <f>A1573</f>
        <v>1517</v>
      </c>
      <c r="C1573" s="19" t="s">
        <v>848</v>
      </c>
      <c r="D1573" s="4">
        <f t="shared" si="822"/>
        <v>2879819.25</v>
      </c>
      <c r="E1573" s="1">
        <f>SUM(F1573:K1573)</f>
        <v>1241909.25</v>
      </c>
      <c r="F1573" s="1">
        <f>804*316.41</f>
        <v>254393.64</v>
      </c>
      <c r="G1573" s="1">
        <f>1693*316.41</f>
        <v>535682.13</v>
      </c>
      <c r="H1573" s="1">
        <f>390*316.41</f>
        <v>123399.90000000001</v>
      </c>
      <c r="I1573" s="1">
        <f>571*316.41</f>
        <v>180670.11000000002</v>
      </c>
      <c r="J1573" s="1">
        <f>467*316.41</f>
        <v>147763.47</v>
      </c>
      <c r="K1573" s="1">
        <v>0</v>
      </c>
      <c r="L1573" s="2">
        <v>0</v>
      </c>
      <c r="M1573" s="1">
        <v>0</v>
      </c>
      <c r="N1573" s="1">
        <v>0</v>
      </c>
      <c r="O1573" s="1">
        <v>0</v>
      </c>
      <c r="P1573" s="1">
        <v>0</v>
      </c>
      <c r="Q1573" s="1">
        <f>P1573*1400</f>
        <v>0</v>
      </c>
      <c r="R1573" s="1">
        <v>410</v>
      </c>
      <c r="S1573" s="1">
        <f>R1573*3751</f>
        <v>1537910</v>
      </c>
      <c r="T1573" s="1">
        <v>0</v>
      </c>
      <c r="U1573" s="1">
        <v>50000</v>
      </c>
      <c r="V1573" s="1">
        <v>0</v>
      </c>
      <c r="W1573" s="1">
        <v>50000</v>
      </c>
      <c r="X1573" s="1">
        <v>0</v>
      </c>
      <c r="Y1573" s="1">
        <v>0</v>
      </c>
      <c r="Z1573" s="1">
        <v>0</v>
      </c>
      <c r="AA1573" s="1">
        <v>0</v>
      </c>
      <c r="AB1573" s="1">
        <v>0</v>
      </c>
      <c r="AC1573" s="1">
        <v>0</v>
      </c>
      <c r="AD1573" s="1">
        <v>0</v>
      </c>
    </row>
    <row r="1574" spans="1:30" s="20" customFormat="1" ht="36" customHeight="1" x14ac:dyDescent="0.25">
      <c r="A1574" s="2">
        <f t="shared" si="821"/>
        <v>1518</v>
      </c>
      <c r="B1574" s="6">
        <f t="shared" si="832"/>
        <v>1518</v>
      </c>
      <c r="C1574" s="19" t="s">
        <v>845</v>
      </c>
      <c r="D1574" s="4">
        <f t="shared" si="822"/>
        <v>4543000.79</v>
      </c>
      <c r="E1574" s="1">
        <f t="shared" si="823"/>
        <v>703250.79</v>
      </c>
      <c r="F1574" s="1">
        <f>804*423.39</f>
        <v>340405.56</v>
      </c>
      <c r="G1574" s="1">
        <v>0</v>
      </c>
      <c r="H1574" s="1">
        <f>390*423.39</f>
        <v>165122.1</v>
      </c>
      <c r="I1574" s="1">
        <v>0</v>
      </c>
      <c r="J1574" s="1">
        <f>467*423.39</f>
        <v>197723.13</v>
      </c>
      <c r="K1574" s="1">
        <v>0</v>
      </c>
      <c r="L1574" s="2">
        <v>0</v>
      </c>
      <c r="M1574" s="1">
        <v>0</v>
      </c>
      <c r="N1574" s="1">
        <v>489</v>
      </c>
      <c r="O1574" s="1">
        <f>N1574*7750</f>
        <v>3789750</v>
      </c>
      <c r="P1574" s="1">
        <v>0</v>
      </c>
      <c r="Q1574" s="1">
        <f t="shared" si="824"/>
        <v>0</v>
      </c>
      <c r="R1574" s="1">
        <v>0</v>
      </c>
      <c r="S1574" s="1">
        <f t="shared" ref="S1574:S1582" si="848">R1574*3751</f>
        <v>0</v>
      </c>
      <c r="T1574" s="1">
        <v>0</v>
      </c>
      <c r="U1574" s="1">
        <v>50000</v>
      </c>
      <c r="V1574" s="1">
        <v>0</v>
      </c>
      <c r="W1574" s="1">
        <v>0</v>
      </c>
      <c r="X1574" s="1">
        <v>0</v>
      </c>
      <c r="Y1574" s="1">
        <v>0</v>
      </c>
      <c r="Z1574" s="1">
        <v>0</v>
      </c>
      <c r="AA1574" s="1">
        <v>0</v>
      </c>
      <c r="AB1574" s="1">
        <v>0</v>
      </c>
      <c r="AC1574" s="1">
        <v>0</v>
      </c>
      <c r="AD1574" s="1">
        <v>0</v>
      </c>
    </row>
    <row r="1575" spans="1:30" s="20" customFormat="1" ht="36" customHeight="1" x14ac:dyDescent="0.25">
      <c r="A1575" s="2">
        <f t="shared" si="821"/>
        <v>1519</v>
      </c>
      <c r="B1575" s="6">
        <f t="shared" si="832"/>
        <v>1519</v>
      </c>
      <c r="C1575" s="19" t="s">
        <v>849</v>
      </c>
      <c r="D1575" s="4">
        <f t="shared" si="822"/>
        <v>7102400.8399999999</v>
      </c>
      <c r="E1575" s="1">
        <f t="shared" si="823"/>
        <v>4351680.84</v>
      </c>
      <c r="F1575" s="1">
        <f>804*1297.46</f>
        <v>1043157.8400000001</v>
      </c>
      <c r="G1575" s="1">
        <f>1693*1297.46</f>
        <v>2196599.7800000003</v>
      </c>
      <c r="H1575" s="1">
        <f>390*1297.46</f>
        <v>506009.4</v>
      </c>
      <c r="I1575" s="1">
        <v>0</v>
      </c>
      <c r="J1575" s="1">
        <f>467*1297.46</f>
        <v>605913.82000000007</v>
      </c>
      <c r="K1575" s="1">
        <v>0</v>
      </c>
      <c r="L1575" s="2">
        <v>0</v>
      </c>
      <c r="M1575" s="1">
        <v>0</v>
      </c>
      <c r="N1575" s="1">
        <v>0</v>
      </c>
      <c r="O1575" s="1">
        <v>0</v>
      </c>
      <c r="P1575" s="1">
        <v>0</v>
      </c>
      <c r="Q1575" s="1">
        <f t="shared" si="824"/>
        <v>0</v>
      </c>
      <c r="R1575" s="1">
        <v>720</v>
      </c>
      <c r="S1575" s="1">
        <f t="shared" si="848"/>
        <v>2700720</v>
      </c>
      <c r="T1575" s="1">
        <v>0</v>
      </c>
      <c r="U1575" s="1">
        <v>50000</v>
      </c>
      <c r="V1575" s="1">
        <v>0</v>
      </c>
      <c r="W1575" s="1">
        <v>0</v>
      </c>
      <c r="X1575" s="1">
        <v>0</v>
      </c>
      <c r="Y1575" s="1">
        <v>0</v>
      </c>
      <c r="Z1575" s="1">
        <v>0</v>
      </c>
      <c r="AA1575" s="1">
        <v>0</v>
      </c>
      <c r="AB1575" s="1">
        <v>0</v>
      </c>
      <c r="AC1575" s="1">
        <v>0</v>
      </c>
      <c r="AD1575" s="1">
        <v>0</v>
      </c>
    </row>
    <row r="1576" spans="1:30" s="20" customFormat="1" ht="35.25" customHeight="1" x14ac:dyDescent="0.25">
      <c r="A1576" s="2">
        <f t="shared" si="821"/>
        <v>1520</v>
      </c>
      <c r="B1576" s="6">
        <f>A1576</f>
        <v>1520</v>
      </c>
      <c r="C1576" s="19" t="s">
        <v>1866</v>
      </c>
      <c r="D1576" s="8">
        <f t="shared" si="822"/>
        <v>7200000</v>
      </c>
      <c r="E1576" s="1">
        <f>SUM(F1576:K1576)</f>
        <v>0</v>
      </c>
      <c r="F1576" s="1">
        <v>0</v>
      </c>
      <c r="G1576" s="1">
        <v>0</v>
      </c>
      <c r="H1576" s="1">
        <v>0</v>
      </c>
      <c r="I1576" s="1">
        <v>0</v>
      </c>
      <c r="J1576" s="1">
        <v>0</v>
      </c>
      <c r="K1576" s="1">
        <v>0</v>
      </c>
      <c r="L1576" s="2">
        <v>2</v>
      </c>
      <c r="M1576" s="1">
        <f>L1576*3500000</f>
        <v>7000000</v>
      </c>
      <c r="N1576" s="1">
        <v>0</v>
      </c>
      <c r="O1576" s="1">
        <v>0</v>
      </c>
      <c r="P1576" s="1">
        <v>0</v>
      </c>
      <c r="Q1576" s="1">
        <f>1400*P1576</f>
        <v>0</v>
      </c>
      <c r="R1576" s="1">
        <v>0</v>
      </c>
      <c r="S1576" s="1">
        <f>R1576*3751</f>
        <v>0</v>
      </c>
      <c r="T1576" s="1">
        <v>0</v>
      </c>
      <c r="U1576" s="1">
        <v>200000</v>
      </c>
      <c r="V1576" s="1">
        <v>0</v>
      </c>
      <c r="W1576" s="1">
        <v>0</v>
      </c>
      <c r="X1576" s="1">
        <v>0</v>
      </c>
      <c r="Y1576" s="1">
        <v>0</v>
      </c>
      <c r="Z1576" s="1">
        <v>0</v>
      </c>
      <c r="AA1576" s="1">
        <v>0</v>
      </c>
      <c r="AB1576" s="1">
        <v>0</v>
      </c>
      <c r="AC1576" s="1">
        <v>0</v>
      </c>
      <c r="AD1576" s="1">
        <v>0</v>
      </c>
    </row>
    <row r="1577" spans="1:30" s="20" customFormat="1" ht="36" customHeight="1" x14ac:dyDescent="0.25">
      <c r="A1577" s="2">
        <f t="shared" si="821"/>
        <v>1521</v>
      </c>
      <c r="B1577" s="6">
        <f t="shared" si="832"/>
        <v>1521</v>
      </c>
      <c r="C1577" s="19" t="s">
        <v>851</v>
      </c>
      <c r="D1577" s="4">
        <f t="shared" si="822"/>
        <v>8104272.5</v>
      </c>
      <c r="E1577" s="1">
        <f t="shared" si="823"/>
        <v>4890942.5</v>
      </c>
      <c r="F1577" s="1">
        <f>804*1246.1</f>
        <v>1001864.3999999999</v>
      </c>
      <c r="G1577" s="1">
        <f>1693*1246.1</f>
        <v>2109647.2999999998</v>
      </c>
      <c r="H1577" s="1">
        <f>390*1246.1</f>
        <v>485978.99999999994</v>
      </c>
      <c r="I1577" s="1">
        <f>571*1246.1</f>
        <v>711523.1</v>
      </c>
      <c r="J1577" s="1">
        <f>467*1246.1</f>
        <v>581928.69999999995</v>
      </c>
      <c r="K1577" s="1">
        <v>0</v>
      </c>
      <c r="L1577" s="2">
        <v>0</v>
      </c>
      <c r="M1577" s="1">
        <v>0</v>
      </c>
      <c r="N1577" s="1">
        <v>0</v>
      </c>
      <c r="O1577" s="1">
        <v>0</v>
      </c>
      <c r="P1577" s="1">
        <v>0</v>
      </c>
      <c r="Q1577" s="1">
        <f t="shared" si="824"/>
        <v>0</v>
      </c>
      <c r="R1577" s="1">
        <v>830</v>
      </c>
      <c r="S1577" s="1">
        <f>R1577*3751</f>
        <v>3113330</v>
      </c>
      <c r="T1577" s="1">
        <v>0</v>
      </c>
      <c r="U1577" s="1">
        <v>50000</v>
      </c>
      <c r="V1577" s="1">
        <v>0</v>
      </c>
      <c r="W1577" s="1">
        <v>50000</v>
      </c>
      <c r="X1577" s="1">
        <v>0</v>
      </c>
      <c r="Y1577" s="1">
        <v>0</v>
      </c>
      <c r="Z1577" s="1">
        <v>0</v>
      </c>
      <c r="AA1577" s="1">
        <v>0</v>
      </c>
      <c r="AB1577" s="1">
        <v>0</v>
      </c>
      <c r="AC1577" s="1">
        <v>0</v>
      </c>
      <c r="AD1577" s="1">
        <v>0</v>
      </c>
    </row>
    <row r="1578" spans="1:30" s="20" customFormat="1" ht="36" customHeight="1" x14ac:dyDescent="0.25">
      <c r="A1578" s="2">
        <f t="shared" si="821"/>
        <v>1522</v>
      </c>
      <c r="B1578" s="6">
        <f t="shared" si="832"/>
        <v>1522</v>
      </c>
      <c r="C1578" s="19" t="s">
        <v>852</v>
      </c>
      <c r="D1578" s="4">
        <f t="shared" si="822"/>
        <v>28829811.699999999</v>
      </c>
      <c r="E1578" s="1">
        <f t="shared" si="823"/>
        <v>20296175</v>
      </c>
      <c r="F1578" s="1">
        <f>804*5171</f>
        <v>4157484</v>
      </c>
      <c r="G1578" s="1">
        <f>1693*5171</f>
        <v>8754503</v>
      </c>
      <c r="H1578" s="1">
        <f>390*5171</f>
        <v>2016690</v>
      </c>
      <c r="I1578" s="1">
        <f>571*5171</f>
        <v>2952641</v>
      </c>
      <c r="J1578" s="1">
        <f>467*5171</f>
        <v>2414857</v>
      </c>
      <c r="K1578" s="1">
        <v>0</v>
      </c>
      <c r="L1578" s="2">
        <v>0</v>
      </c>
      <c r="M1578" s="1">
        <v>0</v>
      </c>
      <c r="N1578" s="1">
        <v>0</v>
      </c>
      <c r="O1578" s="1">
        <v>0</v>
      </c>
      <c r="P1578" s="1">
        <v>0</v>
      </c>
      <c r="Q1578" s="1">
        <f t="shared" si="824"/>
        <v>0</v>
      </c>
      <c r="R1578" s="1">
        <v>2261.6999999999998</v>
      </c>
      <c r="S1578" s="1">
        <f t="shared" si="848"/>
        <v>8483636.6999999993</v>
      </c>
      <c r="T1578" s="1">
        <v>0</v>
      </c>
      <c r="U1578" s="1">
        <v>50000</v>
      </c>
      <c r="V1578" s="1">
        <v>0</v>
      </c>
      <c r="W1578" s="1">
        <v>0</v>
      </c>
      <c r="X1578" s="1">
        <v>0</v>
      </c>
      <c r="Y1578" s="1">
        <v>0</v>
      </c>
      <c r="Z1578" s="1">
        <v>0</v>
      </c>
      <c r="AA1578" s="1">
        <v>0</v>
      </c>
      <c r="AB1578" s="1">
        <v>0</v>
      </c>
      <c r="AC1578" s="1">
        <v>0</v>
      </c>
      <c r="AD1578" s="1">
        <v>0</v>
      </c>
    </row>
    <row r="1579" spans="1:30" s="20" customFormat="1" ht="36" customHeight="1" x14ac:dyDescent="0.25">
      <c r="A1579" s="2">
        <f t="shared" si="821"/>
        <v>1523</v>
      </c>
      <c r="B1579" s="6">
        <f t="shared" si="832"/>
        <v>1523</v>
      </c>
      <c r="C1579" s="19" t="s">
        <v>853</v>
      </c>
      <c r="D1579" s="4">
        <f t="shared" si="822"/>
        <v>26871519.75</v>
      </c>
      <c r="E1579" s="1">
        <f t="shared" si="823"/>
        <v>18194219.75</v>
      </c>
      <c r="F1579" s="1">
        <f>804*4635.47</f>
        <v>3726917.8800000004</v>
      </c>
      <c r="G1579" s="1">
        <f>1693*4635.47</f>
        <v>7847850.7100000009</v>
      </c>
      <c r="H1579" s="1">
        <f>390*4635.47</f>
        <v>1807833.3</v>
      </c>
      <c r="I1579" s="1">
        <f>571*4635.47</f>
        <v>2646853.37</v>
      </c>
      <c r="J1579" s="1">
        <f>467*4635.47</f>
        <v>2164764.4900000002</v>
      </c>
      <c r="K1579" s="1">
        <v>0</v>
      </c>
      <c r="L1579" s="2">
        <v>0</v>
      </c>
      <c r="M1579" s="1">
        <v>0</v>
      </c>
      <c r="N1579" s="1">
        <v>0</v>
      </c>
      <c r="O1579" s="1">
        <v>0</v>
      </c>
      <c r="P1579" s="1">
        <v>0</v>
      </c>
      <c r="Q1579" s="1">
        <f t="shared" si="824"/>
        <v>0</v>
      </c>
      <c r="R1579" s="1">
        <v>2300</v>
      </c>
      <c r="S1579" s="1">
        <f t="shared" si="848"/>
        <v>8627300</v>
      </c>
      <c r="T1579" s="1">
        <v>0</v>
      </c>
      <c r="U1579" s="1">
        <v>50000</v>
      </c>
      <c r="V1579" s="1">
        <v>0</v>
      </c>
      <c r="W1579" s="1">
        <v>0</v>
      </c>
      <c r="X1579" s="1">
        <v>0</v>
      </c>
      <c r="Y1579" s="1">
        <v>0</v>
      </c>
      <c r="Z1579" s="1">
        <v>0</v>
      </c>
      <c r="AA1579" s="1">
        <v>0</v>
      </c>
      <c r="AB1579" s="1">
        <v>0</v>
      </c>
      <c r="AC1579" s="1">
        <v>0</v>
      </c>
      <c r="AD1579" s="1">
        <v>0</v>
      </c>
    </row>
    <row r="1580" spans="1:30" s="20" customFormat="1" ht="36" customHeight="1" x14ac:dyDescent="0.25">
      <c r="A1580" s="2">
        <f t="shared" si="821"/>
        <v>1524</v>
      </c>
      <c r="B1580" s="6">
        <f t="shared" si="832"/>
        <v>1524</v>
      </c>
      <c r="C1580" s="19" t="s">
        <v>854</v>
      </c>
      <c r="D1580" s="4">
        <f t="shared" si="822"/>
        <v>27638762</v>
      </c>
      <c r="E1580" s="1">
        <f t="shared" si="823"/>
        <v>18536362</v>
      </c>
      <c r="F1580" s="1">
        <f>804*4722.64</f>
        <v>3797002.56</v>
      </c>
      <c r="G1580" s="1">
        <f>1693*4722.64</f>
        <v>7995429.5200000005</v>
      </c>
      <c r="H1580" s="1">
        <f>390*4722.64</f>
        <v>1841829.6</v>
      </c>
      <c r="I1580" s="1">
        <f>571*4722.64</f>
        <v>2696627.4400000004</v>
      </c>
      <c r="J1580" s="1">
        <f>467*4722.64</f>
        <v>2205472.8800000004</v>
      </c>
      <c r="K1580" s="1">
        <v>0</v>
      </c>
      <c r="L1580" s="2">
        <v>0</v>
      </c>
      <c r="M1580" s="1">
        <v>0</v>
      </c>
      <c r="N1580" s="1">
        <v>0</v>
      </c>
      <c r="O1580" s="1">
        <v>0</v>
      </c>
      <c r="P1580" s="1">
        <v>0</v>
      </c>
      <c r="Q1580" s="1">
        <f>P1580*1400</f>
        <v>0</v>
      </c>
      <c r="R1580" s="1">
        <v>2400</v>
      </c>
      <c r="S1580" s="1">
        <f t="shared" si="848"/>
        <v>9002400</v>
      </c>
      <c r="T1580" s="1">
        <v>0</v>
      </c>
      <c r="U1580" s="1">
        <v>50000</v>
      </c>
      <c r="V1580" s="1">
        <v>0</v>
      </c>
      <c r="W1580" s="1">
        <v>50000</v>
      </c>
      <c r="X1580" s="1">
        <v>0</v>
      </c>
      <c r="Y1580" s="1">
        <v>0</v>
      </c>
      <c r="Z1580" s="1">
        <v>0</v>
      </c>
      <c r="AA1580" s="1">
        <v>0</v>
      </c>
      <c r="AB1580" s="1">
        <v>0</v>
      </c>
      <c r="AC1580" s="1">
        <v>0</v>
      </c>
      <c r="AD1580" s="1">
        <v>0</v>
      </c>
    </row>
    <row r="1581" spans="1:30" s="20" customFormat="1" ht="36" customHeight="1" x14ac:dyDescent="0.25">
      <c r="A1581" s="2">
        <f t="shared" si="821"/>
        <v>1525</v>
      </c>
      <c r="B1581" s="6">
        <f t="shared" si="832"/>
        <v>1525</v>
      </c>
      <c r="C1581" s="19" t="s">
        <v>855</v>
      </c>
      <c r="D1581" s="4">
        <f t="shared" si="822"/>
        <v>22787884.75</v>
      </c>
      <c r="E1581" s="1">
        <f t="shared" si="823"/>
        <v>18385916.75</v>
      </c>
      <c r="F1581" s="1">
        <f>804*4684.31</f>
        <v>3766185.24</v>
      </c>
      <c r="G1581" s="1">
        <f>1693*4684.31</f>
        <v>7930536.830000001</v>
      </c>
      <c r="H1581" s="1">
        <f>390*4684.31</f>
        <v>1826880.9000000001</v>
      </c>
      <c r="I1581" s="1">
        <f>571*4684.31</f>
        <v>2674741.0100000002</v>
      </c>
      <c r="J1581" s="1">
        <f>467*4684.31</f>
        <v>2187572.77</v>
      </c>
      <c r="K1581" s="1">
        <v>0</v>
      </c>
      <c r="L1581" s="2">
        <v>0</v>
      </c>
      <c r="M1581" s="1">
        <v>0</v>
      </c>
      <c r="N1581" s="1">
        <v>876</v>
      </c>
      <c r="O1581" s="1">
        <f>N1581*4968</f>
        <v>4351968</v>
      </c>
      <c r="P1581" s="1">
        <v>0</v>
      </c>
      <c r="Q1581" s="1">
        <f t="shared" si="824"/>
        <v>0</v>
      </c>
      <c r="R1581" s="1">
        <v>0</v>
      </c>
      <c r="S1581" s="1">
        <f t="shared" si="848"/>
        <v>0</v>
      </c>
      <c r="T1581" s="1">
        <v>0</v>
      </c>
      <c r="U1581" s="1">
        <v>50000</v>
      </c>
      <c r="V1581" s="1">
        <v>0</v>
      </c>
      <c r="W1581" s="1">
        <v>0</v>
      </c>
      <c r="X1581" s="1">
        <v>0</v>
      </c>
      <c r="Y1581" s="1">
        <v>0</v>
      </c>
      <c r="Z1581" s="1">
        <v>0</v>
      </c>
      <c r="AA1581" s="1">
        <v>0</v>
      </c>
      <c r="AB1581" s="1">
        <v>0</v>
      </c>
      <c r="AC1581" s="1">
        <v>0</v>
      </c>
      <c r="AD1581" s="1">
        <v>0</v>
      </c>
    </row>
    <row r="1582" spans="1:30" s="20" customFormat="1" ht="36" customHeight="1" x14ac:dyDescent="0.25">
      <c r="A1582" s="2">
        <f t="shared" si="821"/>
        <v>1526</v>
      </c>
      <c r="B1582" s="6">
        <f t="shared" si="832"/>
        <v>1526</v>
      </c>
      <c r="C1582" s="19" t="s">
        <v>856</v>
      </c>
      <c r="D1582" s="4">
        <f t="shared" si="822"/>
        <v>25293951.440000001</v>
      </c>
      <c r="E1582" s="1">
        <f t="shared" si="823"/>
        <v>18486750</v>
      </c>
      <c r="F1582" s="1">
        <f>804*4710</f>
        <v>3786840</v>
      </c>
      <c r="G1582" s="1">
        <f>1693*4710</f>
        <v>7974030</v>
      </c>
      <c r="H1582" s="1">
        <f>390*4710</f>
        <v>1836900</v>
      </c>
      <c r="I1582" s="1">
        <f>571*4710</f>
        <v>2689410</v>
      </c>
      <c r="J1582" s="1">
        <f>467*4710</f>
        <v>2199570</v>
      </c>
      <c r="K1582" s="1">
        <v>0</v>
      </c>
      <c r="L1582" s="2">
        <v>0</v>
      </c>
      <c r="M1582" s="1">
        <v>0</v>
      </c>
      <c r="N1582" s="1">
        <v>0</v>
      </c>
      <c r="O1582" s="1">
        <v>0</v>
      </c>
      <c r="P1582" s="1">
        <v>0</v>
      </c>
      <c r="Q1582" s="1">
        <f t="shared" si="824"/>
        <v>0</v>
      </c>
      <c r="R1582" s="1">
        <v>1801.44</v>
      </c>
      <c r="S1582" s="1">
        <f t="shared" si="848"/>
        <v>6757201.4400000004</v>
      </c>
      <c r="T1582" s="1">
        <v>0</v>
      </c>
      <c r="U1582" s="1">
        <v>50000</v>
      </c>
      <c r="V1582" s="1">
        <v>0</v>
      </c>
      <c r="W1582" s="1">
        <v>0</v>
      </c>
      <c r="X1582" s="1">
        <v>0</v>
      </c>
      <c r="Y1582" s="1">
        <v>0</v>
      </c>
      <c r="Z1582" s="1">
        <v>0</v>
      </c>
      <c r="AA1582" s="1">
        <v>0</v>
      </c>
      <c r="AB1582" s="1">
        <v>0</v>
      </c>
      <c r="AC1582" s="1">
        <v>0</v>
      </c>
      <c r="AD1582" s="1">
        <v>0</v>
      </c>
    </row>
    <row r="1583" spans="1:30" s="20" customFormat="1" ht="36" customHeight="1" x14ac:dyDescent="0.25">
      <c r="A1583" s="2">
        <f t="shared" si="821"/>
        <v>1527</v>
      </c>
      <c r="B1583" s="6">
        <f t="shared" si="832"/>
        <v>1527</v>
      </c>
      <c r="C1583" s="30" t="s">
        <v>857</v>
      </c>
      <c r="D1583" s="4">
        <f t="shared" si="822"/>
        <v>21170749.5</v>
      </c>
      <c r="E1583" s="1">
        <f t="shared" si="823"/>
        <v>14318949.5</v>
      </c>
      <c r="F1583" s="1">
        <f>804*3648.14</f>
        <v>2933104.56</v>
      </c>
      <c r="G1583" s="1">
        <f>1693*3648.14</f>
        <v>6176301.0199999996</v>
      </c>
      <c r="H1583" s="1">
        <f>390*3648.14</f>
        <v>1422774.5999999999</v>
      </c>
      <c r="I1583" s="1">
        <f>571*3648.14</f>
        <v>2083087.94</v>
      </c>
      <c r="J1583" s="1">
        <f>467*3648.14</f>
        <v>1703681.38</v>
      </c>
      <c r="K1583" s="1">
        <v>0</v>
      </c>
      <c r="L1583" s="2">
        <v>0</v>
      </c>
      <c r="M1583" s="1">
        <v>0</v>
      </c>
      <c r="N1583" s="1">
        <v>0</v>
      </c>
      <c r="O1583" s="1">
        <v>0</v>
      </c>
      <c r="P1583" s="1">
        <v>0</v>
      </c>
      <c r="Q1583" s="1">
        <f t="shared" si="824"/>
        <v>0</v>
      </c>
      <c r="R1583" s="1">
        <v>1800</v>
      </c>
      <c r="S1583" s="1">
        <f t="shared" ref="S1583:S1587" si="849">R1583*3751</f>
        <v>6751800</v>
      </c>
      <c r="T1583" s="1">
        <v>0</v>
      </c>
      <c r="U1583" s="1">
        <v>50000</v>
      </c>
      <c r="V1583" s="1">
        <v>0</v>
      </c>
      <c r="W1583" s="1">
        <v>50000</v>
      </c>
      <c r="X1583" s="1">
        <v>0</v>
      </c>
      <c r="Y1583" s="1">
        <v>0</v>
      </c>
      <c r="Z1583" s="1">
        <v>0</v>
      </c>
      <c r="AA1583" s="1">
        <v>0</v>
      </c>
      <c r="AB1583" s="1">
        <v>0</v>
      </c>
      <c r="AC1583" s="1">
        <v>0</v>
      </c>
      <c r="AD1583" s="1">
        <v>0</v>
      </c>
    </row>
    <row r="1584" spans="1:30" s="20" customFormat="1" ht="36" customHeight="1" x14ac:dyDescent="0.25">
      <c r="A1584" s="2">
        <f t="shared" si="821"/>
        <v>1528</v>
      </c>
      <c r="B1584" s="6">
        <f t="shared" si="832"/>
        <v>1528</v>
      </c>
      <c r="C1584" s="30" t="s">
        <v>858</v>
      </c>
      <c r="D1584" s="4">
        <f t="shared" si="822"/>
        <v>26844418</v>
      </c>
      <c r="E1584" s="1">
        <f t="shared" si="823"/>
        <v>18867318</v>
      </c>
      <c r="F1584" s="1">
        <f>804*4806.96</f>
        <v>3864795.84</v>
      </c>
      <c r="G1584" s="1">
        <f>1693*4806.96</f>
        <v>8138183.2800000003</v>
      </c>
      <c r="H1584" s="1">
        <f>390*4806.96</f>
        <v>1874714.4</v>
      </c>
      <c r="I1584" s="1">
        <f>571*4806.96</f>
        <v>2744774.16</v>
      </c>
      <c r="J1584" s="1">
        <f>467*4806.96</f>
        <v>2244850.3199999998</v>
      </c>
      <c r="K1584" s="1">
        <v>0</v>
      </c>
      <c r="L1584" s="2">
        <v>0</v>
      </c>
      <c r="M1584" s="1">
        <v>0</v>
      </c>
      <c r="N1584" s="1">
        <v>0</v>
      </c>
      <c r="O1584" s="1">
        <v>0</v>
      </c>
      <c r="P1584" s="1">
        <v>0</v>
      </c>
      <c r="Q1584" s="1">
        <f t="shared" si="824"/>
        <v>0</v>
      </c>
      <c r="R1584" s="1">
        <v>2100</v>
      </c>
      <c r="S1584" s="1">
        <f t="shared" si="849"/>
        <v>7877100</v>
      </c>
      <c r="T1584" s="1">
        <v>0</v>
      </c>
      <c r="U1584" s="1">
        <v>50000</v>
      </c>
      <c r="V1584" s="1">
        <v>0</v>
      </c>
      <c r="W1584" s="1">
        <v>50000</v>
      </c>
      <c r="X1584" s="1">
        <v>0</v>
      </c>
      <c r="Y1584" s="1">
        <v>0</v>
      </c>
      <c r="Z1584" s="1">
        <v>0</v>
      </c>
      <c r="AA1584" s="1">
        <v>0</v>
      </c>
      <c r="AB1584" s="1">
        <v>0</v>
      </c>
      <c r="AC1584" s="1">
        <v>0</v>
      </c>
      <c r="AD1584" s="1">
        <v>0</v>
      </c>
    </row>
    <row r="1585" spans="1:30" s="20" customFormat="1" ht="36" customHeight="1" x14ac:dyDescent="0.25">
      <c r="A1585" s="2">
        <f t="shared" si="821"/>
        <v>1529</v>
      </c>
      <c r="B1585" s="6">
        <f t="shared" si="832"/>
        <v>1529</v>
      </c>
      <c r="C1585" s="19" t="s">
        <v>859</v>
      </c>
      <c r="D1585" s="4">
        <f t="shared" si="822"/>
        <v>37936203.25</v>
      </c>
      <c r="E1585" s="1">
        <f t="shared" si="823"/>
        <v>25457903.250000004</v>
      </c>
      <c r="F1585" s="1">
        <f>804*6486.09</f>
        <v>5214816.3600000003</v>
      </c>
      <c r="G1585" s="1">
        <f>1693*6486.09</f>
        <v>10980950.370000001</v>
      </c>
      <c r="H1585" s="1">
        <f>390*6486.09</f>
        <v>2529575.1</v>
      </c>
      <c r="I1585" s="1">
        <f>571*6486.09</f>
        <v>3703557.39</v>
      </c>
      <c r="J1585" s="1">
        <f>467*6486.09</f>
        <v>3029004.0300000003</v>
      </c>
      <c r="K1585" s="1">
        <v>0</v>
      </c>
      <c r="L1585" s="2">
        <v>0</v>
      </c>
      <c r="M1585" s="1">
        <v>0</v>
      </c>
      <c r="N1585" s="1">
        <v>0</v>
      </c>
      <c r="O1585" s="1">
        <v>0</v>
      </c>
      <c r="P1585" s="1">
        <v>0</v>
      </c>
      <c r="Q1585" s="1">
        <f>P1585*1400</f>
        <v>0</v>
      </c>
      <c r="R1585" s="1">
        <v>3300</v>
      </c>
      <c r="S1585" s="1">
        <f t="shared" si="849"/>
        <v>12378300</v>
      </c>
      <c r="T1585" s="1">
        <v>0</v>
      </c>
      <c r="U1585" s="1">
        <v>50000</v>
      </c>
      <c r="V1585" s="1">
        <v>0</v>
      </c>
      <c r="W1585" s="1">
        <v>50000</v>
      </c>
      <c r="X1585" s="1">
        <v>0</v>
      </c>
      <c r="Y1585" s="1">
        <v>0</v>
      </c>
      <c r="Z1585" s="1">
        <v>0</v>
      </c>
      <c r="AA1585" s="1">
        <v>0</v>
      </c>
      <c r="AB1585" s="1">
        <v>0</v>
      </c>
      <c r="AC1585" s="1">
        <v>0</v>
      </c>
      <c r="AD1585" s="1">
        <v>0</v>
      </c>
    </row>
    <row r="1586" spans="1:30" s="20" customFormat="1" ht="36" customHeight="1" x14ac:dyDescent="0.25">
      <c r="A1586" s="2">
        <f t="shared" si="821"/>
        <v>1530</v>
      </c>
      <c r="B1586" s="6">
        <f t="shared" si="832"/>
        <v>1530</v>
      </c>
      <c r="C1586" s="30" t="s">
        <v>860</v>
      </c>
      <c r="D1586" s="4">
        <f t="shared" si="822"/>
        <v>29290231.5</v>
      </c>
      <c r="E1586" s="1">
        <f t="shared" si="823"/>
        <v>20375381.5</v>
      </c>
      <c r="F1586" s="1">
        <f>804*5191.18</f>
        <v>4173708.72</v>
      </c>
      <c r="G1586" s="1">
        <f>1693*5191.18</f>
        <v>8788667.7400000002</v>
      </c>
      <c r="H1586" s="1">
        <f>390*5191.18</f>
        <v>2024560.2000000002</v>
      </c>
      <c r="I1586" s="1">
        <f>571*5191.18</f>
        <v>2964163.7800000003</v>
      </c>
      <c r="J1586" s="1">
        <f>467*5191.18</f>
        <v>2424281.06</v>
      </c>
      <c r="K1586" s="1">
        <v>0</v>
      </c>
      <c r="L1586" s="2">
        <v>0</v>
      </c>
      <c r="M1586" s="1">
        <v>0</v>
      </c>
      <c r="N1586" s="1">
        <v>0</v>
      </c>
      <c r="O1586" s="1">
        <v>0</v>
      </c>
      <c r="P1586" s="1">
        <v>0</v>
      </c>
      <c r="Q1586" s="1">
        <f>P1586*1400</f>
        <v>0</v>
      </c>
      <c r="R1586" s="1">
        <v>2350</v>
      </c>
      <c r="S1586" s="1">
        <f t="shared" si="849"/>
        <v>8814850</v>
      </c>
      <c r="T1586" s="1">
        <v>0</v>
      </c>
      <c r="U1586" s="1">
        <v>50000</v>
      </c>
      <c r="V1586" s="1">
        <v>0</v>
      </c>
      <c r="W1586" s="1">
        <v>50000</v>
      </c>
      <c r="X1586" s="1">
        <v>0</v>
      </c>
      <c r="Y1586" s="1">
        <v>0</v>
      </c>
      <c r="Z1586" s="1">
        <v>0</v>
      </c>
      <c r="AA1586" s="1">
        <v>0</v>
      </c>
      <c r="AB1586" s="1">
        <v>0</v>
      </c>
      <c r="AC1586" s="1">
        <v>0</v>
      </c>
      <c r="AD1586" s="1">
        <v>0</v>
      </c>
    </row>
    <row r="1587" spans="1:30" s="20" customFormat="1" ht="36" customHeight="1" x14ac:dyDescent="0.25">
      <c r="A1587" s="2">
        <f t="shared" si="821"/>
        <v>1531</v>
      </c>
      <c r="B1587" s="6">
        <f t="shared" si="832"/>
        <v>1531</v>
      </c>
      <c r="C1587" s="30" t="s">
        <v>862</v>
      </c>
      <c r="D1587" s="4">
        <f t="shared" si="822"/>
        <v>11869833.41</v>
      </c>
      <c r="E1587" s="1">
        <f t="shared" ref="E1587:E1632" si="850">SUM(F1587:K1587)</f>
        <v>6568433.4100000001</v>
      </c>
      <c r="F1587" s="1">
        <f>804*2630.53</f>
        <v>2114946.12</v>
      </c>
      <c r="G1587" s="1">
        <f>1693*2630.53</f>
        <v>4453487.29</v>
      </c>
      <c r="H1587" s="1">
        <v>0</v>
      </c>
      <c r="I1587" s="1">
        <v>0</v>
      </c>
      <c r="J1587" s="1">
        <v>0</v>
      </c>
      <c r="K1587" s="1">
        <v>0</v>
      </c>
      <c r="L1587" s="2">
        <v>0</v>
      </c>
      <c r="M1587" s="1">
        <v>0</v>
      </c>
      <c r="N1587" s="1">
        <v>0</v>
      </c>
      <c r="O1587" s="1">
        <v>0</v>
      </c>
      <c r="P1587" s="1">
        <v>0</v>
      </c>
      <c r="Q1587" s="1">
        <f t="shared" ref="Q1587:Q1631" si="851">P1587*1400</f>
        <v>0</v>
      </c>
      <c r="R1587" s="1">
        <v>1400</v>
      </c>
      <c r="S1587" s="1">
        <f t="shared" si="849"/>
        <v>5251400</v>
      </c>
      <c r="T1587" s="1">
        <v>0</v>
      </c>
      <c r="U1587" s="1">
        <v>50000</v>
      </c>
      <c r="V1587" s="1">
        <v>0</v>
      </c>
      <c r="W1587" s="1">
        <v>0</v>
      </c>
      <c r="X1587" s="1">
        <v>0</v>
      </c>
      <c r="Y1587" s="1">
        <v>0</v>
      </c>
      <c r="Z1587" s="1">
        <v>0</v>
      </c>
      <c r="AA1587" s="1">
        <v>0</v>
      </c>
      <c r="AB1587" s="1">
        <v>0</v>
      </c>
      <c r="AC1587" s="1">
        <v>0</v>
      </c>
      <c r="AD1587" s="1">
        <v>0</v>
      </c>
    </row>
    <row r="1588" spans="1:30" s="20" customFormat="1" ht="36" customHeight="1" x14ac:dyDescent="0.25">
      <c r="A1588" s="2">
        <f t="shared" si="821"/>
        <v>1532</v>
      </c>
      <c r="B1588" s="6">
        <f t="shared" si="832"/>
        <v>1532</v>
      </c>
      <c r="C1588" s="19" t="s">
        <v>865</v>
      </c>
      <c r="D1588" s="4">
        <f t="shared" ref="D1588:D1651" si="852">E1588+M1588+O1588+Q1588+S1588+T1588+U1588+V1588+W1588+X1588+Z1588+AA1588+AB1588+AC1588+AD1588</f>
        <v>4045200</v>
      </c>
      <c r="E1588" s="1">
        <f t="shared" si="850"/>
        <v>3995200</v>
      </c>
      <c r="F1588" s="1">
        <f>804*1600</f>
        <v>1286400</v>
      </c>
      <c r="G1588" s="1">
        <f>1693*1600</f>
        <v>2708800</v>
      </c>
      <c r="H1588" s="1">
        <v>0</v>
      </c>
      <c r="I1588" s="1">
        <v>0</v>
      </c>
      <c r="J1588" s="1">
        <v>0</v>
      </c>
      <c r="K1588" s="1">
        <v>0</v>
      </c>
      <c r="L1588" s="2">
        <v>0</v>
      </c>
      <c r="M1588" s="1">
        <v>0</v>
      </c>
      <c r="N1588" s="1">
        <v>0</v>
      </c>
      <c r="O1588" s="1">
        <v>0</v>
      </c>
      <c r="P1588" s="1">
        <v>0</v>
      </c>
      <c r="Q1588" s="1">
        <f t="shared" si="851"/>
        <v>0</v>
      </c>
      <c r="R1588" s="1">
        <v>0</v>
      </c>
      <c r="S1588" s="1">
        <f t="shared" ref="S1588:S1598" si="853">R1588*3751</f>
        <v>0</v>
      </c>
      <c r="T1588" s="1">
        <v>0</v>
      </c>
      <c r="U1588" s="1">
        <v>50000</v>
      </c>
      <c r="V1588" s="1">
        <v>0</v>
      </c>
      <c r="W1588" s="1">
        <v>0</v>
      </c>
      <c r="X1588" s="1">
        <v>0</v>
      </c>
      <c r="Y1588" s="1">
        <v>0</v>
      </c>
      <c r="Z1588" s="1">
        <v>0</v>
      </c>
      <c r="AA1588" s="1">
        <v>0</v>
      </c>
      <c r="AB1588" s="1">
        <v>0</v>
      </c>
      <c r="AC1588" s="1">
        <v>0</v>
      </c>
      <c r="AD1588" s="1">
        <v>0</v>
      </c>
    </row>
    <row r="1589" spans="1:30" s="20" customFormat="1" ht="36" customHeight="1" x14ac:dyDescent="0.25">
      <c r="A1589" s="2">
        <f t="shared" si="821"/>
        <v>1533</v>
      </c>
      <c r="B1589" s="6">
        <f t="shared" si="832"/>
        <v>1533</v>
      </c>
      <c r="C1589" s="19" t="s">
        <v>866</v>
      </c>
      <c r="D1589" s="4">
        <f t="shared" si="852"/>
        <v>18521246.250000004</v>
      </c>
      <c r="E1589" s="1">
        <f t="shared" si="850"/>
        <v>18471246.250000004</v>
      </c>
      <c r="F1589" s="1">
        <f>804*4706.05</f>
        <v>3783664.2</v>
      </c>
      <c r="G1589" s="1">
        <f>1693*4706.05</f>
        <v>7967342.6500000004</v>
      </c>
      <c r="H1589" s="1">
        <f>390*4706.05</f>
        <v>1835359.5</v>
      </c>
      <c r="I1589" s="1">
        <f>571*4706.05</f>
        <v>2687154.5500000003</v>
      </c>
      <c r="J1589" s="1">
        <f>467*4706.05</f>
        <v>2197725.35</v>
      </c>
      <c r="K1589" s="1">
        <v>0</v>
      </c>
      <c r="L1589" s="2">
        <v>0</v>
      </c>
      <c r="M1589" s="1">
        <v>0</v>
      </c>
      <c r="N1589" s="1">
        <v>0</v>
      </c>
      <c r="O1589" s="1">
        <v>0</v>
      </c>
      <c r="P1589" s="1">
        <v>0</v>
      </c>
      <c r="Q1589" s="1">
        <f t="shared" ref="Q1589:Q1594" si="854">P1589*1400</f>
        <v>0</v>
      </c>
      <c r="R1589" s="1">
        <v>0</v>
      </c>
      <c r="S1589" s="1">
        <f t="shared" si="853"/>
        <v>0</v>
      </c>
      <c r="T1589" s="1">
        <v>0</v>
      </c>
      <c r="U1589" s="1">
        <v>50000</v>
      </c>
      <c r="V1589" s="1">
        <v>0</v>
      </c>
      <c r="W1589" s="1">
        <v>0</v>
      </c>
      <c r="X1589" s="1">
        <v>0</v>
      </c>
      <c r="Y1589" s="1">
        <v>0</v>
      </c>
      <c r="Z1589" s="1">
        <v>0</v>
      </c>
      <c r="AA1589" s="1">
        <v>0</v>
      </c>
      <c r="AB1589" s="1">
        <v>0</v>
      </c>
      <c r="AC1589" s="1">
        <v>0</v>
      </c>
      <c r="AD1589" s="1">
        <v>0</v>
      </c>
    </row>
    <row r="1590" spans="1:30" s="20" customFormat="1" ht="36" customHeight="1" x14ac:dyDescent="0.25">
      <c r="A1590" s="2">
        <f t="shared" si="821"/>
        <v>1534</v>
      </c>
      <c r="B1590" s="6">
        <f t="shared" si="832"/>
        <v>1534</v>
      </c>
      <c r="C1590" s="30" t="s">
        <v>867</v>
      </c>
      <c r="D1590" s="4">
        <f t="shared" si="852"/>
        <v>25232997</v>
      </c>
      <c r="E1590" s="1">
        <f t="shared" si="850"/>
        <v>16880797</v>
      </c>
      <c r="F1590" s="1">
        <f>804*4300.84</f>
        <v>3457875.3600000003</v>
      </c>
      <c r="G1590" s="1">
        <f>1693*4300.84</f>
        <v>7281322.1200000001</v>
      </c>
      <c r="H1590" s="1">
        <f>390*4300.84</f>
        <v>1677327.6</v>
      </c>
      <c r="I1590" s="1">
        <f>571*4300.84</f>
        <v>2455779.64</v>
      </c>
      <c r="J1590" s="1">
        <f>467*4300.84</f>
        <v>2008492.28</v>
      </c>
      <c r="K1590" s="1">
        <v>0</v>
      </c>
      <c r="L1590" s="2">
        <v>0</v>
      </c>
      <c r="M1590" s="1">
        <v>0</v>
      </c>
      <c r="N1590" s="1">
        <v>0</v>
      </c>
      <c r="O1590" s="1">
        <v>0</v>
      </c>
      <c r="P1590" s="1">
        <v>0</v>
      </c>
      <c r="Q1590" s="1">
        <f t="shared" si="854"/>
        <v>0</v>
      </c>
      <c r="R1590" s="1">
        <v>2200</v>
      </c>
      <c r="S1590" s="1">
        <f t="shared" si="853"/>
        <v>8252200</v>
      </c>
      <c r="T1590" s="1">
        <v>0</v>
      </c>
      <c r="U1590" s="1">
        <v>50000</v>
      </c>
      <c r="V1590" s="1">
        <v>0</v>
      </c>
      <c r="W1590" s="1">
        <v>50000</v>
      </c>
      <c r="X1590" s="1">
        <v>0</v>
      </c>
      <c r="Y1590" s="1">
        <v>0</v>
      </c>
      <c r="Z1590" s="1">
        <v>0</v>
      </c>
      <c r="AA1590" s="1">
        <v>0</v>
      </c>
      <c r="AB1590" s="1">
        <v>0</v>
      </c>
      <c r="AC1590" s="1">
        <v>0</v>
      </c>
      <c r="AD1590" s="1">
        <v>0</v>
      </c>
    </row>
    <row r="1591" spans="1:30" s="20" customFormat="1" ht="36" customHeight="1" x14ac:dyDescent="0.25">
      <c r="A1591" s="2">
        <f t="shared" si="821"/>
        <v>1535</v>
      </c>
      <c r="B1591" s="6">
        <f>A1591</f>
        <v>1535</v>
      </c>
      <c r="C1591" s="19" t="s">
        <v>1778</v>
      </c>
      <c r="D1591" s="4">
        <f t="shared" si="852"/>
        <v>2239517.5000000005</v>
      </c>
      <c r="E1591" s="1">
        <f>SUM(F1591:K1591)</f>
        <v>2139517.5000000005</v>
      </c>
      <c r="F1591" s="1">
        <f>804*545.1</f>
        <v>438260.4</v>
      </c>
      <c r="G1591" s="1">
        <f>1693*545.1</f>
        <v>922854.3</v>
      </c>
      <c r="H1591" s="1">
        <f>390*545.1</f>
        <v>212589</v>
      </c>
      <c r="I1591" s="1">
        <f>571*545.1</f>
        <v>311252.10000000003</v>
      </c>
      <c r="J1591" s="1">
        <f>467*545.1</f>
        <v>254561.7</v>
      </c>
      <c r="K1591" s="1">
        <v>0</v>
      </c>
      <c r="L1591" s="2">
        <v>0</v>
      </c>
      <c r="M1591" s="1">
        <v>0</v>
      </c>
      <c r="N1591" s="1">
        <v>0</v>
      </c>
      <c r="O1591" s="1">
        <v>0</v>
      </c>
      <c r="P1591" s="1">
        <v>0</v>
      </c>
      <c r="Q1591" s="1">
        <f t="shared" si="854"/>
        <v>0</v>
      </c>
      <c r="R1591" s="1">
        <v>0</v>
      </c>
      <c r="S1591" s="1">
        <f>R1591*3751</f>
        <v>0</v>
      </c>
      <c r="T1591" s="1">
        <v>0</v>
      </c>
      <c r="U1591" s="1">
        <v>50000</v>
      </c>
      <c r="V1591" s="1">
        <v>0</v>
      </c>
      <c r="W1591" s="1">
        <v>50000</v>
      </c>
      <c r="X1591" s="1">
        <v>0</v>
      </c>
      <c r="Y1591" s="1">
        <v>0</v>
      </c>
      <c r="Z1591" s="1">
        <v>0</v>
      </c>
      <c r="AA1591" s="1">
        <v>0</v>
      </c>
      <c r="AB1591" s="1">
        <v>0</v>
      </c>
      <c r="AC1591" s="1">
        <v>0</v>
      </c>
      <c r="AD1591" s="1">
        <v>0</v>
      </c>
    </row>
    <row r="1592" spans="1:30" s="20" customFormat="1" ht="36" customHeight="1" x14ac:dyDescent="0.25">
      <c r="A1592" s="2">
        <f t="shared" si="821"/>
        <v>1536</v>
      </c>
      <c r="B1592" s="6">
        <f t="shared" si="832"/>
        <v>1536</v>
      </c>
      <c r="C1592" s="19" t="s">
        <v>869</v>
      </c>
      <c r="D1592" s="4">
        <f t="shared" si="852"/>
        <v>7740069.25</v>
      </c>
      <c r="E1592" s="1">
        <f t="shared" si="850"/>
        <v>5652039.25</v>
      </c>
      <c r="F1592" s="1">
        <f>804*1440.01</f>
        <v>1157768.04</v>
      </c>
      <c r="G1592" s="1">
        <f>1693*1440.01</f>
        <v>2437936.9300000002</v>
      </c>
      <c r="H1592" s="1">
        <f>390*1440.01</f>
        <v>561603.9</v>
      </c>
      <c r="I1592" s="1">
        <f>571*1440.01</f>
        <v>822245.71</v>
      </c>
      <c r="J1592" s="1">
        <f>467*1440.01</f>
        <v>672484.67</v>
      </c>
      <c r="K1592" s="1">
        <v>0</v>
      </c>
      <c r="L1592" s="2">
        <v>0</v>
      </c>
      <c r="M1592" s="1">
        <v>0</v>
      </c>
      <c r="N1592" s="1">
        <v>0</v>
      </c>
      <c r="O1592" s="1">
        <v>0</v>
      </c>
      <c r="P1592" s="1">
        <v>0</v>
      </c>
      <c r="Q1592" s="1">
        <f t="shared" si="854"/>
        <v>0</v>
      </c>
      <c r="R1592" s="1">
        <v>530</v>
      </c>
      <c r="S1592" s="1">
        <f>R1592*3751</f>
        <v>1988030</v>
      </c>
      <c r="T1592" s="1">
        <v>0</v>
      </c>
      <c r="U1592" s="1">
        <v>50000</v>
      </c>
      <c r="V1592" s="1">
        <v>0</v>
      </c>
      <c r="W1592" s="1">
        <v>50000</v>
      </c>
      <c r="X1592" s="1">
        <v>0</v>
      </c>
      <c r="Y1592" s="1">
        <v>0</v>
      </c>
      <c r="Z1592" s="1">
        <v>0</v>
      </c>
      <c r="AA1592" s="1">
        <v>0</v>
      </c>
      <c r="AB1592" s="1">
        <v>0</v>
      </c>
      <c r="AC1592" s="1">
        <v>0</v>
      </c>
      <c r="AD1592" s="1">
        <v>0</v>
      </c>
    </row>
    <row r="1593" spans="1:30" s="20" customFormat="1" ht="36" customHeight="1" x14ac:dyDescent="0.25">
      <c r="A1593" s="2">
        <f t="shared" si="821"/>
        <v>1537</v>
      </c>
      <c r="B1593" s="6">
        <f t="shared" si="832"/>
        <v>1537</v>
      </c>
      <c r="C1593" s="19" t="s">
        <v>870</v>
      </c>
      <c r="D1593" s="4">
        <f t="shared" si="852"/>
        <v>8517690.25</v>
      </c>
      <c r="E1593" s="1">
        <f t="shared" si="850"/>
        <v>6429660.2500000009</v>
      </c>
      <c r="F1593" s="1">
        <f>804*1638.13</f>
        <v>1317056.52</v>
      </c>
      <c r="G1593" s="1">
        <f>1693*1638.13</f>
        <v>2773354.0900000003</v>
      </c>
      <c r="H1593" s="1">
        <f>390*1638.13</f>
        <v>638870.70000000007</v>
      </c>
      <c r="I1593" s="1">
        <f>571*1638.13</f>
        <v>935372.2300000001</v>
      </c>
      <c r="J1593" s="1">
        <f>467*1638.13</f>
        <v>765006.71000000008</v>
      </c>
      <c r="K1593" s="1">
        <v>0</v>
      </c>
      <c r="L1593" s="2">
        <v>0</v>
      </c>
      <c r="M1593" s="1">
        <v>0</v>
      </c>
      <c r="N1593" s="1">
        <v>0</v>
      </c>
      <c r="O1593" s="1">
        <v>0</v>
      </c>
      <c r="P1593" s="1">
        <v>0</v>
      </c>
      <c r="Q1593" s="1">
        <f t="shared" si="854"/>
        <v>0</v>
      </c>
      <c r="R1593" s="1">
        <v>530</v>
      </c>
      <c r="S1593" s="1">
        <f>R1593*3751</f>
        <v>1988030</v>
      </c>
      <c r="T1593" s="1">
        <v>0</v>
      </c>
      <c r="U1593" s="1">
        <v>50000</v>
      </c>
      <c r="V1593" s="1">
        <v>0</v>
      </c>
      <c r="W1593" s="1">
        <v>50000</v>
      </c>
      <c r="X1593" s="1">
        <v>0</v>
      </c>
      <c r="Y1593" s="1">
        <v>0</v>
      </c>
      <c r="Z1593" s="1">
        <v>0</v>
      </c>
      <c r="AA1593" s="1">
        <v>0</v>
      </c>
      <c r="AB1593" s="1">
        <v>0</v>
      </c>
      <c r="AC1593" s="1">
        <v>0</v>
      </c>
      <c r="AD1593" s="1">
        <v>0</v>
      </c>
    </row>
    <row r="1594" spans="1:30" s="20" customFormat="1" ht="36" customHeight="1" x14ac:dyDescent="0.25">
      <c r="A1594" s="2">
        <f t="shared" si="821"/>
        <v>1538</v>
      </c>
      <c r="B1594" s="6">
        <f>A1594</f>
        <v>1538</v>
      </c>
      <c r="C1594" s="19" t="s">
        <v>1645</v>
      </c>
      <c r="D1594" s="4">
        <f t="shared" si="852"/>
        <v>532000</v>
      </c>
      <c r="E1594" s="1">
        <f t="shared" si="850"/>
        <v>0</v>
      </c>
      <c r="F1594" s="1">
        <v>0</v>
      </c>
      <c r="G1594" s="1">
        <v>0</v>
      </c>
      <c r="H1594" s="1">
        <v>0</v>
      </c>
      <c r="I1594" s="1">
        <v>0</v>
      </c>
      <c r="J1594" s="1">
        <v>0</v>
      </c>
      <c r="K1594" s="1">
        <v>0</v>
      </c>
      <c r="L1594" s="2">
        <v>0</v>
      </c>
      <c r="M1594" s="1">
        <v>0</v>
      </c>
      <c r="N1594" s="1">
        <v>0</v>
      </c>
      <c r="O1594" s="1">
        <v>0</v>
      </c>
      <c r="P1594" s="1">
        <v>380</v>
      </c>
      <c r="Q1594" s="1">
        <f t="shared" si="854"/>
        <v>532000</v>
      </c>
      <c r="R1594" s="1">
        <v>0</v>
      </c>
      <c r="S1594" s="1">
        <f t="shared" si="853"/>
        <v>0</v>
      </c>
      <c r="T1594" s="1">
        <v>0</v>
      </c>
      <c r="U1594" s="1">
        <v>0</v>
      </c>
      <c r="V1594" s="1">
        <v>0</v>
      </c>
      <c r="W1594" s="1">
        <v>0</v>
      </c>
      <c r="X1594" s="1">
        <v>0</v>
      </c>
      <c r="Y1594" s="1">
        <v>0</v>
      </c>
      <c r="Z1594" s="1">
        <v>0</v>
      </c>
      <c r="AA1594" s="1">
        <v>0</v>
      </c>
      <c r="AB1594" s="1">
        <v>0</v>
      </c>
      <c r="AC1594" s="1">
        <v>0</v>
      </c>
      <c r="AD1594" s="1">
        <v>0</v>
      </c>
    </row>
    <row r="1595" spans="1:30" s="20" customFormat="1" ht="36" customHeight="1" x14ac:dyDescent="0.25">
      <c r="A1595" s="2">
        <f t="shared" ref="A1595:A1659" si="855">ROW()-ROW($A$11)-45</f>
        <v>1539</v>
      </c>
      <c r="B1595" s="6">
        <f t="shared" si="832"/>
        <v>1539</v>
      </c>
      <c r="C1595" s="19" t="s">
        <v>871</v>
      </c>
      <c r="D1595" s="4">
        <f t="shared" si="852"/>
        <v>5855755</v>
      </c>
      <c r="E1595" s="1">
        <f t="shared" si="850"/>
        <v>3880255.0000000005</v>
      </c>
      <c r="F1595" s="1">
        <f>804*988.6</f>
        <v>794834.4</v>
      </c>
      <c r="G1595" s="1">
        <f>1693*988.6</f>
        <v>1673699.8</v>
      </c>
      <c r="H1595" s="1">
        <f>390*988.6</f>
        <v>385554</v>
      </c>
      <c r="I1595" s="1">
        <f>571*988.6</f>
        <v>564490.6</v>
      </c>
      <c r="J1595" s="1">
        <f>467*988.6</f>
        <v>461676.2</v>
      </c>
      <c r="K1595" s="1">
        <v>0</v>
      </c>
      <c r="L1595" s="2">
        <v>0</v>
      </c>
      <c r="M1595" s="1">
        <v>0</v>
      </c>
      <c r="N1595" s="1">
        <v>0</v>
      </c>
      <c r="O1595" s="1">
        <v>0</v>
      </c>
      <c r="P1595" s="1">
        <v>0</v>
      </c>
      <c r="Q1595" s="1">
        <f t="shared" si="851"/>
        <v>0</v>
      </c>
      <c r="R1595" s="1">
        <v>500</v>
      </c>
      <c r="S1595" s="1">
        <f t="shared" si="853"/>
        <v>1875500</v>
      </c>
      <c r="T1595" s="1">
        <v>0</v>
      </c>
      <c r="U1595" s="1">
        <v>50000</v>
      </c>
      <c r="V1595" s="1">
        <v>0</v>
      </c>
      <c r="W1595" s="1">
        <v>50000</v>
      </c>
      <c r="X1595" s="1">
        <v>0</v>
      </c>
      <c r="Y1595" s="1">
        <v>0</v>
      </c>
      <c r="Z1595" s="1">
        <v>0</v>
      </c>
      <c r="AA1595" s="1">
        <v>0</v>
      </c>
      <c r="AB1595" s="1">
        <v>0</v>
      </c>
      <c r="AC1595" s="1">
        <v>0</v>
      </c>
      <c r="AD1595" s="1">
        <v>0</v>
      </c>
    </row>
    <row r="1596" spans="1:30" s="20" customFormat="1" ht="35.25" customHeight="1" x14ac:dyDescent="0.25">
      <c r="A1596" s="2">
        <f t="shared" si="855"/>
        <v>1540</v>
      </c>
      <c r="B1596" s="6">
        <f>A1596</f>
        <v>1540</v>
      </c>
      <c r="C1596" s="19" t="s">
        <v>2517</v>
      </c>
      <c r="D1596" s="8">
        <f t="shared" si="852"/>
        <v>17700000</v>
      </c>
      <c r="E1596" s="1">
        <f>SUM(F1596:K1596)</f>
        <v>0</v>
      </c>
      <c r="F1596" s="1">
        <v>0</v>
      </c>
      <c r="G1596" s="1">
        <v>0</v>
      </c>
      <c r="H1596" s="1">
        <v>0</v>
      </c>
      <c r="I1596" s="1">
        <v>0</v>
      </c>
      <c r="J1596" s="1">
        <v>0</v>
      </c>
      <c r="K1596" s="1">
        <v>0</v>
      </c>
      <c r="L1596" s="2">
        <v>5</v>
      </c>
      <c r="M1596" s="1">
        <f>L1596*3500000</f>
        <v>17500000</v>
      </c>
      <c r="N1596" s="1">
        <v>0</v>
      </c>
      <c r="O1596" s="1">
        <v>0</v>
      </c>
      <c r="P1596" s="1">
        <v>0</v>
      </c>
      <c r="Q1596" s="1">
        <f>1400*P1596</f>
        <v>0</v>
      </c>
      <c r="R1596" s="1">
        <v>0</v>
      </c>
      <c r="S1596" s="1">
        <f>R1596*3751</f>
        <v>0</v>
      </c>
      <c r="T1596" s="1">
        <v>0</v>
      </c>
      <c r="U1596" s="1">
        <v>200000</v>
      </c>
      <c r="V1596" s="1">
        <v>0</v>
      </c>
      <c r="W1596" s="1">
        <v>0</v>
      </c>
      <c r="X1596" s="1">
        <v>0</v>
      </c>
      <c r="Y1596" s="1">
        <v>0</v>
      </c>
      <c r="Z1596" s="1">
        <v>0</v>
      </c>
      <c r="AA1596" s="1">
        <v>0</v>
      </c>
      <c r="AB1596" s="1">
        <v>0</v>
      </c>
      <c r="AC1596" s="1">
        <v>0</v>
      </c>
      <c r="AD1596" s="1">
        <v>0</v>
      </c>
    </row>
    <row r="1597" spans="1:30" s="20" customFormat="1" ht="36" customHeight="1" x14ac:dyDescent="0.25">
      <c r="A1597" s="2">
        <f t="shared" si="855"/>
        <v>1541</v>
      </c>
      <c r="B1597" s="6">
        <f t="shared" si="832"/>
        <v>1541</v>
      </c>
      <c r="C1597" s="19" t="s">
        <v>872</v>
      </c>
      <c r="D1597" s="4">
        <f t="shared" si="852"/>
        <v>4393965.75</v>
      </c>
      <c r="E1597" s="1">
        <f t="shared" si="850"/>
        <v>3093645.7500000005</v>
      </c>
      <c r="F1597" s="1">
        <f>804*788.19</f>
        <v>633704.76</v>
      </c>
      <c r="G1597" s="1">
        <f>1693*788.19</f>
        <v>1334405.6700000002</v>
      </c>
      <c r="H1597" s="1">
        <f>390*788.19</f>
        <v>307394.10000000003</v>
      </c>
      <c r="I1597" s="1">
        <f>571*788.19</f>
        <v>450056.49000000005</v>
      </c>
      <c r="J1597" s="1">
        <f>467*788.19</f>
        <v>368084.73000000004</v>
      </c>
      <c r="K1597" s="1">
        <v>0</v>
      </c>
      <c r="L1597" s="2">
        <v>0</v>
      </c>
      <c r="M1597" s="1">
        <v>0</v>
      </c>
      <c r="N1597" s="1">
        <v>0</v>
      </c>
      <c r="O1597" s="1">
        <v>0</v>
      </c>
      <c r="P1597" s="1">
        <v>0</v>
      </c>
      <c r="Q1597" s="1">
        <f t="shared" si="851"/>
        <v>0</v>
      </c>
      <c r="R1597" s="1">
        <v>320</v>
      </c>
      <c r="S1597" s="1">
        <f t="shared" si="853"/>
        <v>1200320</v>
      </c>
      <c r="T1597" s="1">
        <v>0</v>
      </c>
      <c r="U1597" s="1">
        <v>50000</v>
      </c>
      <c r="V1597" s="1">
        <v>0</v>
      </c>
      <c r="W1597" s="1">
        <v>50000</v>
      </c>
      <c r="X1597" s="1">
        <v>0</v>
      </c>
      <c r="Y1597" s="1">
        <v>0</v>
      </c>
      <c r="Z1597" s="1">
        <v>0</v>
      </c>
      <c r="AA1597" s="1">
        <v>0</v>
      </c>
      <c r="AB1597" s="1">
        <v>0</v>
      </c>
      <c r="AC1597" s="1">
        <v>0</v>
      </c>
      <c r="AD1597" s="1">
        <v>0</v>
      </c>
    </row>
    <row r="1598" spans="1:30" s="20" customFormat="1" ht="36" customHeight="1" x14ac:dyDescent="0.25">
      <c r="A1598" s="2">
        <f t="shared" si="855"/>
        <v>1542</v>
      </c>
      <c r="B1598" s="6">
        <f t="shared" si="832"/>
        <v>1542</v>
      </c>
      <c r="C1598" s="19" t="s">
        <v>873</v>
      </c>
      <c r="D1598" s="4">
        <f t="shared" si="852"/>
        <v>3450147.5</v>
      </c>
      <c r="E1598" s="1">
        <f t="shared" si="850"/>
        <v>1999787.5</v>
      </c>
      <c r="F1598" s="1">
        <f>804*509.5</f>
        <v>409638</v>
      </c>
      <c r="G1598" s="1">
        <f>1693*509.5</f>
        <v>862583.5</v>
      </c>
      <c r="H1598" s="1">
        <f>390*509.5</f>
        <v>198705</v>
      </c>
      <c r="I1598" s="1">
        <f>571*509.5</f>
        <v>290924.5</v>
      </c>
      <c r="J1598" s="1">
        <f>467*509.5</f>
        <v>237936.5</v>
      </c>
      <c r="K1598" s="1">
        <v>0</v>
      </c>
      <c r="L1598" s="2">
        <v>0</v>
      </c>
      <c r="M1598" s="1">
        <v>0</v>
      </c>
      <c r="N1598" s="1">
        <v>0</v>
      </c>
      <c r="O1598" s="1">
        <v>0</v>
      </c>
      <c r="P1598" s="1">
        <v>0</v>
      </c>
      <c r="Q1598" s="1">
        <f t="shared" si="851"/>
        <v>0</v>
      </c>
      <c r="R1598" s="1">
        <v>360</v>
      </c>
      <c r="S1598" s="1">
        <f t="shared" si="853"/>
        <v>1350360</v>
      </c>
      <c r="T1598" s="1">
        <v>0</v>
      </c>
      <c r="U1598" s="1">
        <v>50000</v>
      </c>
      <c r="V1598" s="1">
        <v>0</v>
      </c>
      <c r="W1598" s="1">
        <v>50000</v>
      </c>
      <c r="X1598" s="1">
        <v>0</v>
      </c>
      <c r="Y1598" s="1">
        <v>0</v>
      </c>
      <c r="Z1598" s="1">
        <v>0</v>
      </c>
      <c r="AA1598" s="1">
        <v>0</v>
      </c>
      <c r="AB1598" s="1">
        <v>0</v>
      </c>
      <c r="AC1598" s="1">
        <v>0</v>
      </c>
      <c r="AD1598" s="1">
        <v>0</v>
      </c>
    </row>
    <row r="1599" spans="1:30" s="20" customFormat="1" ht="36" customHeight="1" x14ac:dyDescent="0.25">
      <c r="A1599" s="2">
        <f t="shared" si="855"/>
        <v>1543</v>
      </c>
      <c r="B1599" s="2">
        <f t="shared" si="832"/>
        <v>1543</v>
      </c>
      <c r="C1599" s="30" t="s">
        <v>875</v>
      </c>
      <c r="D1599" s="39">
        <f t="shared" si="852"/>
        <v>8032134</v>
      </c>
      <c r="E1599" s="1">
        <f t="shared" si="850"/>
        <v>5543984</v>
      </c>
      <c r="F1599" s="1">
        <f>804*1412.48</f>
        <v>1135633.9199999999</v>
      </c>
      <c r="G1599" s="1">
        <f>1693*1412.48</f>
        <v>2391328.64</v>
      </c>
      <c r="H1599" s="1">
        <f>390*1412.48</f>
        <v>550867.19999999995</v>
      </c>
      <c r="I1599" s="1">
        <f>571*1412.48</f>
        <v>806526.08</v>
      </c>
      <c r="J1599" s="1">
        <f>467*1412.48</f>
        <v>659628.16</v>
      </c>
      <c r="K1599" s="1">
        <v>0</v>
      </c>
      <c r="L1599" s="2">
        <v>0</v>
      </c>
      <c r="M1599" s="1">
        <v>0</v>
      </c>
      <c r="N1599" s="1">
        <v>0</v>
      </c>
      <c r="O1599" s="1">
        <v>0</v>
      </c>
      <c r="P1599" s="1">
        <v>0</v>
      </c>
      <c r="Q1599" s="1">
        <f t="shared" si="851"/>
        <v>0</v>
      </c>
      <c r="R1599" s="1">
        <v>650</v>
      </c>
      <c r="S1599" s="1">
        <f>R1599*3751</f>
        <v>2438150</v>
      </c>
      <c r="T1599" s="1">
        <v>0</v>
      </c>
      <c r="U1599" s="1">
        <v>50000</v>
      </c>
      <c r="V1599" s="1">
        <v>0</v>
      </c>
      <c r="W1599" s="1">
        <v>0</v>
      </c>
      <c r="X1599" s="1">
        <v>0</v>
      </c>
      <c r="Y1599" s="1">
        <v>0</v>
      </c>
      <c r="Z1599" s="1">
        <v>0</v>
      </c>
      <c r="AA1599" s="1">
        <v>0</v>
      </c>
      <c r="AB1599" s="1">
        <v>0</v>
      </c>
      <c r="AC1599" s="1">
        <v>0</v>
      </c>
      <c r="AD1599" s="1">
        <v>0</v>
      </c>
    </row>
    <row r="1600" spans="1:30" s="20" customFormat="1" ht="36" customHeight="1" x14ac:dyDescent="0.25">
      <c r="A1600" s="2">
        <f t="shared" si="855"/>
        <v>1544</v>
      </c>
      <c r="B1600" s="2">
        <f t="shared" si="832"/>
        <v>1544</v>
      </c>
      <c r="C1600" s="30" t="s">
        <v>876</v>
      </c>
      <c r="D1600" s="39">
        <f t="shared" si="852"/>
        <v>9006498.1000000015</v>
      </c>
      <c r="E1600" s="1">
        <f t="shared" si="850"/>
        <v>4855418.1000000006</v>
      </c>
      <c r="F1600" s="1">
        <f>804*1447.65</f>
        <v>1163910.6000000001</v>
      </c>
      <c r="G1600" s="1">
        <f>1693*1447.65</f>
        <v>2450871.4500000002</v>
      </c>
      <c r="H1600" s="1">
        <f>390*1447.65</f>
        <v>564583.5</v>
      </c>
      <c r="I1600" s="1">
        <v>0</v>
      </c>
      <c r="J1600" s="1">
        <f>467*1447.65</f>
        <v>676052.55</v>
      </c>
      <c r="K1600" s="1">
        <v>0</v>
      </c>
      <c r="L1600" s="2">
        <v>0</v>
      </c>
      <c r="M1600" s="1">
        <v>0</v>
      </c>
      <c r="N1600" s="1">
        <v>0</v>
      </c>
      <c r="O1600" s="1">
        <v>0</v>
      </c>
      <c r="P1600" s="1">
        <v>0</v>
      </c>
      <c r="Q1600" s="1">
        <f t="shared" si="851"/>
        <v>0</v>
      </c>
      <c r="R1600" s="1">
        <v>1080</v>
      </c>
      <c r="S1600" s="1">
        <f t="shared" ref="S1600:S1616" si="856">R1600*3751</f>
        <v>4051080</v>
      </c>
      <c r="T1600" s="1">
        <v>0</v>
      </c>
      <c r="U1600" s="1">
        <v>50000</v>
      </c>
      <c r="V1600" s="1">
        <v>0</v>
      </c>
      <c r="W1600" s="1">
        <v>50000</v>
      </c>
      <c r="X1600" s="1">
        <v>0</v>
      </c>
      <c r="Y1600" s="1">
        <v>0</v>
      </c>
      <c r="Z1600" s="1">
        <v>0</v>
      </c>
      <c r="AA1600" s="1">
        <v>0</v>
      </c>
      <c r="AB1600" s="1">
        <v>0</v>
      </c>
      <c r="AC1600" s="1">
        <v>0</v>
      </c>
      <c r="AD1600" s="1">
        <v>0</v>
      </c>
    </row>
    <row r="1601" spans="1:30" s="20" customFormat="1" ht="36" customHeight="1" x14ac:dyDescent="0.25">
      <c r="A1601" s="2">
        <f t="shared" si="855"/>
        <v>1545</v>
      </c>
      <c r="B1601" s="6">
        <f t="shared" si="832"/>
        <v>1545</v>
      </c>
      <c r="C1601" s="19" t="s">
        <v>878</v>
      </c>
      <c r="D1601" s="4">
        <f t="shared" si="852"/>
        <v>12216952.5</v>
      </c>
      <c r="E1601" s="1">
        <f t="shared" si="850"/>
        <v>9191172.5</v>
      </c>
      <c r="F1601" s="1">
        <f>804*2341.7</f>
        <v>1882726.7999999998</v>
      </c>
      <c r="G1601" s="1">
        <f>1693*2341.7</f>
        <v>3964498.0999999996</v>
      </c>
      <c r="H1601" s="1">
        <f>390*2341.7</f>
        <v>913262.99999999988</v>
      </c>
      <c r="I1601" s="1">
        <f>571*2341.7</f>
        <v>1337110.7</v>
      </c>
      <c r="J1601" s="1">
        <f>467*2341.7</f>
        <v>1093573.8999999999</v>
      </c>
      <c r="K1601" s="1">
        <v>0</v>
      </c>
      <c r="L1601" s="2">
        <v>0</v>
      </c>
      <c r="M1601" s="1">
        <v>0</v>
      </c>
      <c r="N1601" s="1">
        <v>0</v>
      </c>
      <c r="O1601" s="1">
        <v>0</v>
      </c>
      <c r="P1601" s="1">
        <v>0</v>
      </c>
      <c r="Q1601" s="1">
        <f t="shared" ref="Q1601:Q1606" si="857">P1601*1400</f>
        <v>0</v>
      </c>
      <c r="R1601" s="1">
        <v>780</v>
      </c>
      <c r="S1601" s="1">
        <f>R1601*3751</f>
        <v>2925780</v>
      </c>
      <c r="T1601" s="1">
        <v>0</v>
      </c>
      <c r="U1601" s="1">
        <v>50000</v>
      </c>
      <c r="V1601" s="1">
        <v>0</v>
      </c>
      <c r="W1601" s="1">
        <v>50000</v>
      </c>
      <c r="X1601" s="1">
        <v>0</v>
      </c>
      <c r="Y1601" s="1">
        <v>0</v>
      </c>
      <c r="Z1601" s="1">
        <v>0</v>
      </c>
      <c r="AA1601" s="1">
        <v>0</v>
      </c>
      <c r="AB1601" s="1">
        <v>0</v>
      </c>
      <c r="AC1601" s="1">
        <v>0</v>
      </c>
      <c r="AD1601" s="1">
        <v>0</v>
      </c>
    </row>
    <row r="1602" spans="1:30" s="20" customFormat="1" ht="36" customHeight="1" x14ac:dyDescent="0.25">
      <c r="A1602" s="2">
        <f>ROW()-ROW($A$11)-45</f>
        <v>1546</v>
      </c>
      <c r="B1602" s="6">
        <f t="shared" ref="B1602" si="858">A1602</f>
        <v>1546</v>
      </c>
      <c r="C1602" s="19" t="s">
        <v>1940</v>
      </c>
      <c r="D1602" s="4">
        <f t="shared" si="852"/>
        <v>17700000</v>
      </c>
      <c r="E1602" s="1">
        <f t="shared" ref="E1602" si="859">SUM(F1602:K1602)</f>
        <v>0</v>
      </c>
      <c r="F1602" s="1">
        <v>0</v>
      </c>
      <c r="G1602" s="1">
        <v>0</v>
      </c>
      <c r="H1602" s="1">
        <v>0</v>
      </c>
      <c r="I1602" s="1">
        <v>0</v>
      </c>
      <c r="J1602" s="1">
        <v>0</v>
      </c>
      <c r="K1602" s="1">
        <v>0</v>
      </c>
      <c r="L1602" s="2">
        <v>5</v>
      </c>
      <c r="M1602" s="1">
        <f>L1602*3500000</f>
        <v>17500000</v>
      </c>
      <c r="N1602" s="1">
        <v>0</v>
      </c>
      <c r="O1602" s="1">
        <v>0</v>
      </c>
      <c r="P1602" s="1">
        <v>0</v>
      </c>
      <c r="Q1602" s="1">
        <f t="shared" ref="Q1602" si="860">P1602*1400</f>
        <v>0</v>
      </c>
      <c r="R1602" s="1">
        <v>0</v>
      </c>
      <c r="S1602" s="1">
        <f t="shared" ref="S1602" si="861">R1602*3751</f>
        <v>0</v>
      </c>
      <c r="T1602" s="1">
        <v>0</v>
      </c>
      <c r="U1602" s="1">
        <v>200000</v>
      </c>
      <c r="V1602" s="1">
        <v>0</v>
      </c>
      <c r="W1602" s="1">
        <v>0</v>
      </c>
      <c r="X1602" s="1">
        <v>0</v>
      </c>
      <c r="Y1602" s="1">
        <v>0</v>
      </c>
      <c r="Z1602" s="1">
        <v>0</v>
      </c>
      <c r="AA1602" s="1">
        <v>0</v>
      </c>
      <c r="AB1602" s="1">
        <v>0</v>
      </c>
      <c r="AC1602" s="1">
        <v>0</v>
      </c>
      <c r="AD1602" s="1">
        <v>0</v>
      </c>
    </row>
    <row r="1603" spans="1:30" s="20" customFormat="1" ht="36" customHeight="1" x14ac:dyDescent="0.25">
      <c r="A1603" s="2">
        <f t="shared" si="855"/>
        <v>1547</v>
      </c>
      <c r="B1603" s="6">
        <f>A1603</f>
        <v>1547</v>
      </c>
      <c r="C1603" s="19" t="s">
        <v>877</v>
      </c>
      <c r="D1603" s="4">
        <f t="shared" si="852"/>
        <v>12974362</v>
      </c>
      <c r="E1603" s="1">
        <f>SUM(F1603:K1603)</f>
        <v>8935812</v>
      </c>
      <c r="F1603" s="1">
        <f>804*2276.64</f>
        <v>1830418.5599999998</v>
      </c>
      <c r="G1603" s="1">
        <f>1693*2276.64</f>
        <v>3854351.5199999996</v>
      </c>
      <c r="H1603" s="1">
        <f>390*2276.64</f>
        <v>887889.6</v>
      </c>
      <c r="I1603" s="1">
        <f>571*2276.64</f>
        <v>1299961.44</v>
      </c>
      <c r="J1603" s="1">
        <f>467*2276.64</f>
        <v>1063190.8799999999</v>
      </c>
      <c r="K1603" s="1">
        <v>0</v>
      </c>
      <c r="L1603" s="2">
        <v>0</v>
      </c>
      <c r="M1603" s="1">
        <v>0</v>
      </c>
      <c r="N1603" s="1">
        <v>0</v>
      </c>
      <c r="O1603" s="1">
        <v>0</v>
      </c>
      <c r="P1603" s="1">
        <v>0</v>
      </c>
      <c r="Q1603" s="1">
        <f>P1603*1400</f>
        <v>0</v>
      </c>
      <c r="R1603" s="1">
        <v>1050</v>
      </c>
      <c r="S1603" s="1">
        <f>R1603*3751</f>
        <v>3938550</v>
      </c>
      <c r="T1603" s="1">
        <v>0</v>
      </c>
      <c r="U1603" s="1">
        <v>50000</v>
      </c>
      <c r="V1603" s="1">
        <v>0</v>
      </c>
      <c r="W1603" s="1">
        <v>50000</v>
      </c>
      <c r="X1603" s="1">
        <v>0</v>
      </c>
      <c r="Y1603" s="1">
        <v>0</v>
      </c>
      <c r="Z1603" s="1">
        <v>0</v>
      </c>
      <c r="AA1603" s="1">
        <v>0</v>
      </c>
      <c r="AB1603" s="1">
        <v>0</v>
      </c>
      <c r="AC1603" s="1">
        <v>0</v>
      </c>
      <c r="AD1603" s="1">
        <v>0</v>
      </c>
    </row>
    <row r="1604" spans="1:30" s="20" customFormat="1" ht="36" customHeight="1" x14ac:dyDescent="0.25">
      <c r="A1604" s="2">
        <f t="shared" si="855"/>
        <v>1548</v>
      </c>
      <c r="B1604" s="6">
        <f>A1604</f>
        <v>1548</v>
      </c>
      <c r="C1604" s="19" t="s">
        <v>882</v>
      </c>
      <c r="D1604" s="4">
        <f t="shared" si="852"/>
        <v>20959811</v>
      </c>
      <c r="E1604" s="1">
        <f>SUM(F1604:K1604)</f>
        <v>11975567.499999998</v>
      </c>
      <c r="F1604" s="1">
        <f>804*3051.1</f>
        <v>2453084.4</v>
      </c>
      <c r="G1604" s="1">
        <f>1693*3051.1</f>
        <v>5165512.3</v>
      </c>
      <c r="H1604" s="1">
        <f>390*3051.1</f>
        <v>1189929</v>
      </c>
      <c r="I1604" s="1">
        <f>571*3051.1</f>
        <v>1742178.0999999999</v>
      </c>
      <c r="J1604" s="1">
        <f>467*3051.1</f>
        <v>1424863.7</v>
      </c>
      <c r="K1604" s="1">
        <v>0</v>
      </c>
      <c r="L1604" s="2">
        <v>0</v>
      </c>
      <c r="M1604" s="1">
        <v>0</v>
      </c>
      <c r="N1604" s="1">
        <v>0</v>
      </c>
      <c r="O1604" s="1">
        <v>0</v>
      </c>
      <c r="P1604" s="1">
        <v>0</v>
      </c>
      <c r="Q1604" s="1">
        <f>P1604*1400</f>
        <v>0</v>
      </c>
      <c r="R1604" s="1">
        <v>2368.5</v>
      </c>
      <c r="S1604" s="1">
        <f>R1604*3751</f>
        <v>8884243.5</v>
      </c>
      <c r="T1604" s="1">
        <v>0</v>
      </c>
      <c r="U1604" s="1">
        <v>50000</v>
      </c>
      <c r="V1604" s="1">
        <v>0</v>
      </c>
      <c r="W1604" s="1">
        <v>50000</v>
      </c>
      <c r="X1604" s="1">
        <v>0</v>
      </c>
      <c r="Y1604" s="1">
        <v>0</v>
      </c>
      <c r="Z1604" s="1">
        <v>0</v>
      </c>
      <c r="AA1604" s="1">
        <v>0</v>
      </c>
      <c r="AB1604" s="1">
        <v>0</v>
      </c>
      <c r="AC1604" s="1">
        <v>0</v>
      </c>
      <c r="AD1604" s="1">
        <v>0</v>
      </c>
    </row>
    <row r="1605" spans="1:30" s="20" customFormat="1" ht="36" customHeight="1" x14ac:dyDescent="0.25">
      <c r="A1605" s="2">
        <f t="shared" si="855"/>
        <v>1549</v>
      </c>
      <c r="B1605" s="6">
        <f t="shared" si="832"/>
        <v>1549</v>
      </c>
      <c r="C1605" s="19" t="s">
        <v>879</v>
      </c>
      <c r="D1605" s="4">
        <f t="shared" si="852"/>
        <v>27395570</v>
      </c>
      <c r="E1605" s="1">
        <f t="shared" si="850"/>
        <v>11321270.000000002</v>
      </c>
      <c r="F1605" s="1">
        <f>804*2884.4</f>
        <v>2319057.6</v>
      </c>
      <c r="G1605" s="1">
        <f>1693*2884.4</f>
        <v>4883289.2</v>
      </c>
      <c r="H1605" s="1">
        <f>390*2884.4</f>
        <v>1124916</v>
      </c>
      <c r="I1605" s="1">
        <f>571*2884.4</f>
        <v>1646992.4000000001</v>
      </c>
      <c r="J1605" s="1">
        <f>467*2884.4</f>
        <v>1347014.8</v>
      </c>
      <c r="K1605" s="1">
        <v>0</v>
      </c>
      <c r="L1605" s="2">
        <v>0</v>
      </c>
      <c r="M1605" s="1">
        <v>0</v>
      </c>
      <c r="N1605" s="1">
        <v>1190</v>
      </c>
      <c r="O1605" s="1">
        <f>N1605*7750</f>
        <v>9222500</v>
      </c>
      <c r="P1605" s="1">
        <v>0</v>
      </c>
      <c r="Q1605" s="1">
        <f t="shared" si="857"/>
        <v>0</v>
      </c>
      <c r="R1605" s="1">
        <v>1800</v>
      </c>
      <c r="S1605" s="1">
        <f>R1605*3751</f>
        <v>6751800</v>
      </c>
      <c r="T1605" s="1">
        <v>0</v>
      </c>
      <c r="U1605" s="1">
        <v>50000</v>
      </c>
      <c r="V1605" s="1">
        <v>0</v>
      </c>
      <c r="W1605" s="1">
        <v>50000</v>
      </c>
      <c r="X1605" s="1">
        <v>0</v>
      </c>
      <c r="Y1605" s="1">
        <v>0</v>
      </c>
      <c r="Z1605" s="1">
        <v>0</v>
      </c>
      <c r="AA1605" s="1">
        <v>0</v>
      </c>
      <c r="AB1605" s="1">
        <v>0</v>
      </c>
      <c r="AC1605" s="1">
        <v>0</v>
      </c>
      <c r="AD1605" s="1">
        <v>0</v>
      </c>
    </row>
    <row r="1606" spans="1:30" s="20" customFormat="1" ht="36" customHeight="1" x14ac:dyDescent="0.25">
      <c r="A1606" s="2">
        <f t="shared" si="855"/>
        <v>1550</v>
      </c>
      <c r="B1606" s="6">
        <f t="shared" si="832"/>
        <v>1550</v>
      </c>
      <c r="C1606" s="19" t="s">
        <v>880</v>
      </c>
      <c r="D1606" s="4">
        <f t="shared" si="852"/>
        <v>19558763</v>
      </c>
      <c r="E1606" s="1">
        <f t="shared" si="850"/>
        <v>13644713</v>
      </c>
      <c r="F1606" s="1">
        <f>804*3476.36</f>
        <v>2794993.44</v>
      </c>
      <c r="G1606" s="1">
        <f>1693*3476.36</f>
        <v>5885477.4800000004</v>
      </c>
      <c r="H1606" s="1">
        <f>390*3476.36</f>
        <v>1355780.4000000001</v>
      </c>
      <c r="I1606" s="1">
        <f>571*3476.36</f>
        <v>1985001.56</v>
      </c>
      <c r="J1606" s="1">
        <f>467*3476.36</f>
        <v>1623460.12</v>
      </c>
      <c r="K1606" s="1">
        <v>0</v>
      </c>
      <c r="L1606" s="2">
        <v>0</v>
      </c>
      <c r="M1606" s="1">
        <v>0</v>
      </c>
      <c r="N1606" s="1">
        <v>0</v>
      </c>
      <c r="O1606" s="1">
        <v>0</v>
      </c>
      <c r="P1606" s="1">
        <v>0</v>
      </c>
      <c r="Q1606" s="1">
        <f t="shared" si="857"/>
        <v>0</v>
      </c>
      <c r="R1606" s="1">
        <v>1550</v>
      </c>
      <c r="S1606" s="1">
        <f>R1606*3751</f>
        <v>5814050</v>
      </c>
      <c r="T1606" s="1">
        <v>0</v>
      </c>
      <c r="U1606" s="1">
        <v>50000</v>
      </c>
      <c r="V1606" s="1">
        <v>0</v>
      </c>
      <c r="W1606" s="1">
        <v>50000</v>
      </c>
      <c r="X1606" s="1">
        <v>0</v>
      </c>
      <c r="Y1606" s="1">
        <v>0</v>
      </c>
      <c r="Z1606" s="1">
        <v>0</v>
      </c>
      <c r="AA1606" s="1">
        <v>0</v>
      </c>
      <c r="AB1606" s="1">
        <v>0</v>
      </c>
      <c r="AC1606" s="1">
        <v>0</v>
      </c>
      <c r="AD1606" s="1">
        <v>0</v>
      </c>
    </row>
    <row r="1607" spans="1:30" s="20" customFormat="1" ht="36" customHeight="1" x14ac:dyDescent="0.25">
      <c r="A1607" s="2">
        <f t="shared" si="855"/>
        <v>1551</v>
      </c>
      <c r="B1607" s="6">
        <f t="shared" si="832"/>
        <v>1551</v>
      </c>
      <c r="C1607" s="19" t="s">
        <v>883</v>
      </c>
      <c r="D1607" s="4">
        <f t="shared" si="852"/>
        <v>9081953.0599999987</v>
      </c>
      <c r="E1607" s="1">
        <f t="shared" si="850"/>
        <v>9031953.0599999987</v>
      </c>
      <c r="F1607" s="1">
        <f>804*2692.89</f>
        <v>2165083.56</v>
      </c>
      <c r="G1607" s="1">
        <f>1693*2692.89</f>
        <v>4559062.7699999996</v>
      </c>
      <c r="H1607" s="1">
        <f>390*2692.89</f>
        <v>1050227.0999999999</v>
      </c>
      <c r="I1607" s="1">
        <v>0</v>
      </c>
      <c r="J1607" s="1">
        <f>467*2692.89</f>
        <v>1257579.6299999999</v>
      </c>
      <c r="K1607" s="1">
        <v>0</v>
      </c>
      <c r="L1607" s="2">
        <v>0</v>
      </c>
      <c r="M1607" s="1">
        <v>0</v>
      </c>
      <c r="N1607" s="1">
        <v>0</v>
      </c>
      <c r="O1607" s="1">
        <v>0</v>
      </c>
      <c r="P1607" s="1">
        <v>0</v>
      </c>
      <c r="Q1607" s="1">
        <f t="shared" si="851"/>
        <v>0</v>
      </c>
      <c r="R1607" s="1">
        <v>0</v>
      </c>
      <c r="S1607" s="1">
        <f t="shared" si="856"/>
        <v>0</v>
      </c>
      <c r="T1607" s="1">
        <v>0</v>
      </c>
      <c r="U1607" s="1">
        <v>50000</v>
      </c>
      <c r="V1607" s="1">
        <v>0</v>
      </c>
      <c r="W1607" s="1">
        <v>0</v>
      </c>
      <c r="X1607" s="1">
        <v>0</v>
      </c>
      <c r="Y1607" s="1">
        <v>0</v>
      </c>
      <c r="Z1607" s="1">
        <v>0</v>
      </c>
      <c r="AA1607" s="1">
        <v>0</v>
      </c>
      <c r="AB1607" s="1">
        <v>0</v>
      </c>
      <c r="AC1607" s="1">
        <v>0</v>
      </c>
      <c r="AD1607" s="1">
        <v>0</v>
      </c>
    </row>
    <row r="1608" spans="1:30" s="20" customFormat="1" ht="36" customHeight="1" x14ac:dyDescent="0.25">
      <c r="A1608" s="2">
        <f t="shared" si="855"/>
        <v>1552</v>
      </c>
      <c r="B1608" s="6">
        <f>A1608</f>
        <v>1552</v>
      </c>
      <c r="C1608" s="19" t="s">
        <v>1646</v>
      </c>
      <c r="D1608" s="4">
        <f t="shared" si="852"/>
        <v>2120602.5999999996</v>
      </c>
      <c r="E1608" s="1">
        <f t="shared" si="850"/>
        <v>2070602.5999999999</v>
      </c>
      <c r="F1608" s="1">
        <f>804*1246.6</f>
        <v>1002266.3999999999</v>
      </c>
      <c r="G1608" s="1">
        <v>0</v>
      </c>
      <c r="H1608" s="1">
        <f>390*1246.6</f>
        <v>486173.99999999994</v>
      </c>
      <c r="I1608" s="1">
        <v>0</v>
      </c>
      <c r="J1608" s="1">
        <f>467*1246.6</f>
        <v>582162.19999999995</v>
      </c>
      <c r="K1608" s="1">
        <v>0</v>
      </c>
      <c r="L1608" s="2">
        <v>0</v>
      </c>
      <c r="M1608" s="1">
        <v>0</v>
      </c>
      <c r="N1608" s="1">
        <v>0</v>
      </c>
      <c r="O1608" s="1">
        <v>0</v>
      </c>
      <c r="P1608" s="1">
        <v>0</v>
      </c>
      <c r="Q1608" s="1">
        <f t="shared" si="851"/>
        <v>0</v>
      </c>
      <c r="R1608" s="1">
        <v>0</v>
      </c>
      <c r="S1608" s="1">
        <f t="shared" si="856"/>
        <v>0</v>
      </c>
      <c r="T1608" s="1">
        <v>0</v>
      </c>
      <c r="U1608" s="1">
        <v>50000</v>
      </c>
      <c r="V1608" s="1">
        <v>0</v>
      </c>
      <c r="W1608" s="1">
        <v>0</v>
      </c>
      <c r="X1608" s="1">
        <v>0</v>
      </c>
      <c r="Y1608" s="1">
        <v>0</v>
      </c>
      <c r="Z1608" s="1">
        <v>0</v>
      </c>
      <c r="AA1608" s="1">
        <v>0</v>
      </c>
      <c r="AB1608" s="1">
        <v>0</v>
      </c>
      <c r="AC1608" s="1">
        <v>0</v>
      </c>
      <c r="AD1608" s="1">
        <v>0</v>
      </c>
    </row>
    <row r="1609" spans="1:30" s="20" customFormat="1" ht="36" customHeight="1" x14ac:dyDescent="0.25">
      <c r="A1609" s="2">
        <f t="shared" si="855"/>
        <v>1553</v>
      </c>
      <c r="B1609" s="6">
        <f>A1609</f>
        <v>1553</v>
      </c>
      <c r="C1609" s="30" t="s">
        <v>885</v>
      </c>
      <c r="D1609" s="4">
        <f t="shared" si="852"/>
        <v>13217725.5</v>
      </c>
      <c r="E1609" s="1">
        <f>SUM(F1609:K1609)</f>
        <v>8991625.5</v>
      </c>
      <c r="F1609" s="1">
        <f>804*2290.86</f>
        <v>1841851.4400000002</v>
      </c>
      <c r="G1609" s="1">
        <f>1693*2290.86</f>
        <v>3878425.9800000004</v>
      </c>
      <c r="H1609" s="1">
        <f>390*2290.86</f>
        <v>893435.4</v>
      </c>
      <c r="I1609" s="1">
        <f>571*2290.86</f>
        <v>1308081.06</v>
      </c>
      <c r="J1609" s="1">
        <f>467*2290.86</f>
        <v>1069831.6200000001</v>
      </c>
      <c r="K1609" s="1">
        <v>0</v>
      </c>
      <c r="L1609" s="2">
        <v>0</v>
      </c>
      <c r="M1609" s="1">
        <v>0</v>
      </c>
      <c r="N1609" s="1">
        <v>0</v>
      </c>
      <c r="O1609" s="1">
        <v>0</v>
      </c>
      <c r="P1609" s="1">
        <v>0</v>
      </c>
      <c r="Q1609" s="1">
        <f>P1609*1400</f>
        <v>0</v>
      </c>
      <c r="R1609" s="1">
        <v>1100</v>
      </c>
      <c r="S1609" s="1">
        <f>R1609*3751</f>
        <v>4126100</v>
      </c>
      <c r="T1609" s="1">
        <v>0</v>
      </c>
      <c r="U1609" s="1">
        <v>50000</v>
      </c>
      <c r="V1609" s="1">
        <v>0</v>
      </c>
      <c r="W1609" s="1">
        <v>50000</v>
      </c>
      <c r="X1609" s="1">
        <v>0</v>
      </c>
      <c r="Y1609" s="1">
        <v>0</v>
      </c>
      <c r="Z1609" s="1">
        <v>0</v>
      </c>
      <c r="AA1609" s="1">
        <v>0</v>
      </c>
      <c r="AB1609" s="1">
        <v>0</v>
      </c>
      <c r="AC1609" s="1">
        <v>0</v>
      </c>
      <c r="AD1609" s="1">
        <v>0</v>
      </c>
    </row>
    <row r="1610" spans="1:30" s="20" customFormat="1" ht="36" customHeight="1" x14ac:dyDescent="0.25">
      <c r="A1610" s="2">
        <f t="shared" si="855"/>
        <v>1554</v>
      </c>
      <c r="B1610" s="6">
        <f t="shared" si="832"/>
        <v>1554</v>
      </c>
      <c r="C1610" s="30" t="s">
        <v>884</v>
      </c>
      <c r="D1610" s="4">
        <f t="shared" si="852"/>
        <v>9960246.5</v>
      </c>
      <c r="E1610" s="1">
        <f t="shared" si="850"/>
        <v>7422096.5000000009</v>
      </c>
      <c r="F1610" s="1">
        <f>804*1890.98</f>
        <v>1520347.92</v>
      </c>
      <c r="G1610" s="1">
        <f>1693*1890.98</f>
        <v>3201429.14</v>
      </c>
      <c r="H1610" s="1">
        <f>390*1890.98</f>
        <v>737482.2</v>
      </c>
      <c r="I1610" s="1">
        <f>571*1890.98</f>
        <v>1079749.58</v>
      </c>
      <c r="J1610" s="1">
        <f>467*1890.98</f>
        <v>883087.66</v>
      </c>
      <c r="K1610" s="1">
        <v>0</v>
      </c>
      <c r="L1610" s="2">
        <v>0</v>
      </c>
      <c r="M1610" s="1">
        <v>0</v>
      </c>
      <c r="N1610" s="1">
        <v>0</v>
      </c>
      <c r="O1610" s="1">
        <v>0</v>
      </c>
      <c r="P1610" s="1">
        <v>0</v>
      </c>
      <c r="Q1610" s="1">
        <f t="shared" si="851"/>
        <v>0</v>
      </c>
      <c r="R1610" s="1">
        <v>650</v>
      </c>
      <c r="S1610" s="1">
        <f t="shared" si="856"/>
        <v>2438150</v>
      </c>
      <c r="T1610" s="1">
        <v>0</v>
      </c>
      <c r="U1610" s="1">
        <v>50000</v>
      </c>
      <c r="V1610" s="1">
        <v>0</v>
      </c>
      <c r="W1610" s="1">
        <v>50000</v>
      </c>
      <c r="X1610" s="1">
        <v>0</v>
      </c>
      <c r="Y1610" s="1">
        <v>0</v>
      </c>
      <c r="Z1610" s="1">
        <v>0</v>
      </c>
      <c r="AA1610" s="1">
        <v>0</v>
      </c>
      <c r="AB1610" s="1">
        <v>0</v>
      </c>
      <c r="AC1610" s="1">
        <v>0</v>
      </c>
      <c r="AD1610" s="1">
        <v>0</v>
      </c>
    </row>
    <row r="1611" spans="1:30" s="20" customFormat="1" ht="36" customHeight="1" x14ac:dyDescent="0.25">
      <c r="A1611" s="2">
        <f t="shared" si="855"/>
        <v>1555</v>
      </c>
      <c r="B1611" s="6">
        <f t="shared" si="832"/>
        <v>1555</v>
      </c>
      <c r="C1611" s="30" t="s">
        <v>355</v>
      </c>
      <c r="D1611" s="4">
        <f t="shared" si="852"/>
        <v>15483030</v>
      </c>
      <c r="E1611" s="1">
        <f t="shared" si="850"/>
        <v>7032029.9999999991</v>
      </c>
      <c r="F1611" s="1">
        <f>804*1791.6</f>
        <v>1440446.4</v>
      </c>
      <c r="G1611" s="1">
        <f>1693*1791.6</f>
        <v>3033178.8</v>
      </c>
      <c r="H1611" s="1">
        <f>390*1791.6</f>
        <v>698724</v>
      </c>
      <c r="I1611" s="1">
        <f>571*1791.6</f>
        <v>1023003.6</v>
      </c>
      <c r="J1611" s="1">
        <f>467*1791.6</f>
        <v>836677.2</v>
      </c>
      <c r="K1611" s="1">
        <v>0</v>
      </c>
      <c r="L1611" s="2">
        <v>0</v>
      </c>
      <c r="M1611" s="1">
        <v>0</v>
      </c>
      <c r="N1611" s="1">
        <v>600</v>
      </c>
      <c r="O1611" s="1">
        <f>N1611*7750</f>
        <v>4650000</v>
      </c>
      <c r="P1611" s="1">
        <v>0</v>
      </c>
      <c r="Q1611" s="1">
        <f t="shared" si="851"/>
        <v>0</v>
      </c>
      <c r="R1611" s="1">
        <v>1000</v>
      </c>
      <c r="S1611" s="1">
        <f t="shared" si="856"/>
        <v>3751000</v>
      </c>
      <c r="T1611" s="1">
        <v>0</v>
      </c>
      <c r="U1611" s="1">
        <v>50000</v>
      </c>
      <c r="V1611" s="1">
        <v>0</v>
      </c>
      <c r="W1611" s="1">
        <v>0</v>
      </c>
      <c r="X1611" s="1">
        <v>0</v>
      </c>
      <c r="Y1611" s="1">
        <v>0</v>
      </c>
      <c r="Z1611" s="1">
        <v>0</v>
      </c>
      <c r="AA1611" s="1">
        <v>0</v>
      </c>
      <c r="AB1611" s="1">
        <v>0</v>
      </c>
      <c r="AC1611" s="1">
        <v>0</v>
      </c>
      <c r="AD1611" s="1">
        <v>0</v>
      </c>
    </row>
    <row r="1612" spans="1:30" s="20" customFormat="1" ht="36" customHeight="1" x14ac:dyDescent="0.25">
      <c r="A1612" s="2">
        <f t="shared" si="855"/>
        <v>1556</v>
      </c>
      <c r="B1612" s="6">
        <f t="shared" ref="B1612:B1657" si="862">A1612</f>
        <v>1556</v>
      </c>
      <c r="C1612" s="30" t="s">
        <v>886</v>
      </c>
      <c r="D1612" s="4">
        <f t="shared" si="852"/>
        <v>18929864.75</v>
      </c>
      <c r="E1612" s="1">
        <f t="shared" si="850"/>
        <v>8928864.75</v>
      </c>
      <c r="F1612" s="1">
        <f>804*2274.87</f>
        <v>1828995.48</v>
      </c>
      <c r="G1612" s="1">
        <f>1693*2274.87</f>
        <v>3851354.9099999997</v>
      </c>
      <c r="H1612" s="1">
        <f>390*2274.87</f>
        <v>887199.29999999993</v>
      </c>
      <c r="I1612" s="1">
        <f>571*2274.87</f>
        <v>1298950.77</v>
      </c>
      <c r="J1612" s="1">
        <f>467*2274.87</f>
        <v>1062364.29</v>
      </c>
      <c r="K1612" s="1">
        <v>0</v>
      </c>
      <c r="L1612" s="2">
        <v>0</v>
      </c>
      <c r="M1612" s="1">
        <v>0</v>
      </c>
      <c r="N1612" s="1">
        <v>800</v>
      </c>
      <c r="O1612" s="1">
        <f>N1612*7750</f>
        <v>6200000</v>
      </c>
      <c r="P1612" s="1">
        <v>0</v>
      </c>
      <c r="Q1612" s="1">
        <f t="shared" si="851"/>
        <v>0</v>
      </c>
      <c r="R1612" s="1">
        <v>1000</v>
      </c>
      <c r="S1612" s="1">
        <f t="shared" si="856"/>
        <v>3751000</v>
      </c>
      <c r="T1612" s="1">
        <v>0</v>
      </c>
      <c r="U1612" s="1">
        <v>50000</v>
      </c>
      <c r="V1612" s="1">
        <v>0</v>
      </c>
      <c r="W1612" s="1">
        <v>0</v>
      </c>
      <c r="X1612" s="1">
        <v>0</v>
      </c>
      <c r="Y1612" s="1">
        <v>0</v>
      </c>
      <c r="Z1612" s="1">
        <v>0</v>
      </c>
      <c r="AA1612" s="1">
        <v>0</v>
      </c>
      <c r="AB1612" s="1">
        <v>0</v>
      </c>
      <c r="AC1612" s="1">
        <v>0</v>
      </c>
      <c r="AD1612" s="1">
        <v>0</v>
      </c>
    </row>
    <row r="1613" spans="1:30" s="20" customFormat="1" ht="36" customHeight="1" x14ac:dyDescent="0.25">
      <c r="A1613" s="2">
        <f t="shared" si="855"/>
        <v>1557</v>
      </c>
      <c r="B1613" s="6">
        <f t="shared" si="862"/>
        <v>1557</v>
      </c>
      <c r="C1613" s="30" t="s">
        <v>887</v>
      </c>
      <c r="D1613" s="4">
        <f t="shared" si="852"/>
        <v>13291385.5</v>
      </c>
      <c r="E1613" s="1">
        <f t="shared" si="850"/>
        <v>8690185.5</v>
      </c>
      <c r="F1613" s="1">
        <f>804*2214.06</f>
        <v>1780104.24</v>
      </c>
      <c r="G1613" s="1">
        <f>1693*2214.06</f>
        <v>3748403.58</v>
      </c>
      <c r="H1613" s="1">
        <f>390*2214.06</f>
        <v>863483.4</v>
      </c>
      <c r="I1613" s="1">
        <f>571*2214.06</f>
        <v>1264228.26</v>
      </c>
      <c r="J1613" s="1">
        <f>467*2214.06</f>
        <v>1033966.02</v>
      </c>
      <c r="K1613" s="1">
        <v>0</v>
      </c>
      <c r="L1613" s="2">
        <v>0</v>
      </c>
      <c r="M1613" s="1">
        <v>0</v>
      </c>
      <c r="N1613" s="1">
        <v>0</v>
      </c>
      <c r="O1613" s="1">
        <v>0</v>
      </c>
      <c r="P1613" s="1">
        <v>0</v>
      </c>
      <c r="Q1613" s="1">
        <f t="shared" si="851"/>
        <v>0</v>
      </c>
      <c r="R1613" s="1">
        <v>1200</v>
      </c>
      <c r="S1613" s="1">
        <f t="shared" si="856"/>
        <v>4501200</v>
      </c>
      <c r="T1613" s="1">
        <v>0</v>
      </c>
      <c r="U1613" s="1">
        <v>50000</v>
      </c>
      <c r="V1613" s="1">
        <v>0</v>
      </c>
      <c r="W1613" s="1">
        <v>50000</v>
      </c>
      <c r="X1613" s="1">
        <v>0</v>
      </c>
      <c r="Y1613" s="1">
        <v>0</v>
      </c>
      <c r="Z1613" s="1">
        <v>0</v>
      </c>
      <c r="AA1613" s="1">
        <v>0</v>
      </c>
      <c r="AB1613" s="1">
        <v>0</v>
      </c>
      <c r="AC1613" s="1">
        <v>0</v>
      </c>
      <c r="AD1613" s="1">
        <v>0</v>
      </c>
    </row>
    <row r="1614" spans="1:30" s="20" customFormat="1" ht="36" customHeight="1" x14ac:dyDescent="0.25">
      <c r="A1614" s="2">
        <f t="shared" si="855"/>
        <v>1558</v>
      </c>
      <c r="B1614" s="6">
        <f t="shared" si="862"/>
        <v>1558</v>
      </c>
      <c r="C1614" s="19" t="s">
        <v>889</v>
      </c>
      <c r="D1614" s="4">
        <f t="shared" si="852"/>
        <v>8795109</v>
      </c>
      <c r="E1614" s="1">
        <f t="shared" si="850"/>
        <v>6819609.0000000009</v>
      </c>
      <c r="F1614" s="1">
        <f>804*1737.48</f>
        <v>1396933.92</v>
      </c>
      <c r="G1614" s="1">
        <f>1693*1737.48</f>
        <v>2941553.64</v>
      </c>
      <c r="H1614" s="1">
        <f>390*1737.48</f>
        <v>677617.2</v>
      </c>
      <c r="I1614" s="1">
        <f>571*1737.48</f>
        <v>992101.08</v>
      </c>
      <c r="J1614" s="1">
        <f>467*1737.48</f>
        <v>811403.16</v>
      </c>
      <c r="K1614" s="1">
        <v>0</v>
      </c>
      <c r="L1614" s="2">
        <v>0</v>
      </c>
      <c r="M1614" s="1">
        <v>0</v>
      </c>
      <c r="N1614" s="1">
        <v>0</v>
      </c>
      <c r="O1614" s="1">
        <v>0</v>
      </c>
      <c r="P1614" s="1">
        <v>0</v>
      </c>
      <c r="Q1614" s="1">
        <f t="shared" si="851"/>
        <v>0</v>
      </c>
      <c r="R1614" s="1">
        <v>500</v>
      </c>
      <c r="S1614" s="1">
        <f t="shared" si="856"/>
        <v>1875500</v>
      </c>
      <c r="T1614" s="1">
        <v>0</v>
      </c>
      <c r="U1614" s="1">
        <v>50000</v>
      </c>
      <c r="V1614" s="1">
        <v>0</v>
      </c>
      <c r="W1614" s="1">
        <v>50000</v>
      </c>
      <c r="X1614" s="1">
        <v>0</v>
      </c>
      <c r="Y1614" s="1">
        <v>0</v>
      </c>
      <c r="Z1614" s="1">
        <v>0</v>
      </c>
      <c r="AA1614" s="1">
        <v>0</v>
      </c>
      <c r="AB1614" s="1">
        <v>0</v>
      </c>
      <c r="AC1614" s="1">
        <v>0</v>
      </c>
      <c r="AD1614" s="1">
        <v>0</v>
      </c>
    </row>
    <row r="1615" spans="1:30" s="20" customFormat="1" ht="36" customHeight="1" x14ac:dyDescent="0.25">
      <c r="A1615" s="2">
        <f t="shared" si="855"/>
        <v>1559</v>
      </c>
      <c r="B1615" s="6">
        <f t="shared" si="862"/>
        <v>1559</v>
      </c>
      <c r="C1615" s="19" t="s">
        <v>890</v>
      </c>
      <c r="D1615" s="4">
        <f t="shared" si="852"/>
        <v>28256216.000000004</v>
      </c>
      <c r="E1615" s="1">
        <f t="shared" si="850"/>
        <v>19528916.000000004</v>
      </c>
      <c r="F1615" s="1">
        <f>804*4975.52</f>
        <v>4000318.0800000005</v>
      </c>
      <c r="G1615" s="1">
        <f>1693*4975.52</f>
        <v>8423555.3600000013</v>
      </c>
      <c r="H1615" s="1">
        <f>390*4975.52</f>
        <v>1940452.8000000003</v>
      </c>
      <c r="I1615" s="1">
        <f>571*4975.52</f>
        <v>2841021.9200000004</v>
      </c>
      <c r="J1615" s="1">
        <f>467*4975.52</f>
        <v>2323567.8400000003</v>
      </c>
      <c r="K1615" s="1">
        <v>0</v>
      </c>
      <c r="L1615" s="2">
        <v>0</v>
      </c>
      <c r="M1615" s="1">
        <v>0</v>
      </c>
      <c r="N1615" s="1">
        <v>0</v>
      </c>
      <c r="O1615" s="1">
        <v>0</v>
      </c>
      <c r="P1615" s="1">
        <v>0</v>
      </c>
      <c r="Q1615" s="1">
        <f t="shared" si="851"/>
        <v>0</v>
      </c>
      <c r="R1615" s="1">
        <v>2300</v>
      </c>
      <c r="S1615" s="1">
        <f t="shared" si="856"/>
        <v>8627300</v>
      </c>
      <c r="T1615" s="1">
        <v>0</v>
      </c>
      <c r="U1615" s="1">
        <v>50000</v>
      </c>
      <c r="V1615" s="1">
        <v>0</v>
      </c>
      <c r="W1615" s="1">
        <v>50000</v>
      </c>
      <c r="X1615" s="1">
        <v>0</v>
      </c>
      <c r="Y1615" s="1">
        <v>0</v>
      </c>
      <c r="Z1615" s="1">
        <v>0</v>
      </c>
      <c r="AA1615" s="1">
        <v>0</v>
      </c>
      <c r="AB1615" s="1">
        <v>0</v>
      </c>
      <c r="AC1615" s="1">
        <v>0</v>
      </c>
      <c r="AD1615" s="1">
        <v>0</v>
      </c>
    </row>
    <row r="1616" spans="1:30" s="20" customFormat="1" ht="36" customHeight="1" x14ac:dyDescent="0.25">
      <c r="A1616" s="2">
        <f t="shared" si="855"/>
        <v>1560</v>
      </c>
      <c r="B1616" s="6">
        <f t="shared" si="862"/>
        <v>1560</v>
      </c>
      <c r="C1616" s="19" t="s">
        <v>891</v>
      </c>
      <c r="D1616" s="4">
        <f t="shared" si="852"/>
        <v>11626035</v>
      </c>
      <c r="E1616" s="1">
        <f t="shared" si="850"/>
        <v>6649735.0000000009</v>
      </c>
      <c r="F1616" s="1">
        <f>804*1694.2</f>
        <v>1362136.8</v>
      </c>
      <c r="G1616" s="1">
        <f>1693*1694.2</f>
        <v>2868280.6</v>
      </c>
      <c r="H1616" s="1">
        <f>390*1694.2</f>
        <v>660738</v>
      </c>
      <c r="I1616" s="1">
        <f>571*1694.2</f>
        <v>967388.20000000007</v>
      </c>
      <c r="J1616" s="1">
        <f>467*1694.2</f>
        <v>791191.4</v>
      </c>
      <c r="K1616" s="1">
        <v>0</v>
      </c>
      <c r="L1616" s="2">
        <v>0</v>
      </c>
      <c r="M1616" s="1">
        <v>0</v>
      </c>
      <c r="N1616" s="1">
        <v>0</v>
      </c>
      <c r="O1616" s="1">
        <v>0</v>
      </c>
      <c r="P1616" s="1">
        <v>0</v>
      </c>
      <c r="Q1616" s="1">
        <f t="shared" si="851"/>
        <v>0</v>
      </c>
      <c r="R1616" s="1">
        <v>1300</v>
      </c>
      <c r="S1616" s="1">
        <f t="shared" si="856"/>
        <v>4876300</v>
      </c>
      <c r="T1616" s="1">
        <v>0</v>
      </c>
      <c r="U1616" s="1">
        <v>50000</v>
      </c>
      <c r="V1616" s="1">
        <v>0</v>
      </c>
      <c r="W1616" s="1">
        <v>50000</v>
      </c>
      <c r="X1616" s="1">
        <v>0</v>
      </c>
      <c r="Y1616" s="1">
        <v>0</v>
      </c>
      <c r="Z1616" s="1">
        <v>0</v>
      </c>
      <c r="AA1616" s="1">
        <v>0</v>
      </c>
      <c r="AB1616" s="1">
        <v>0</v>
      </c>
      <c r="AC1616" s="1">
        <v>0</v>
      </c>
      <c r="AD1616" s="1">
        <v>0</v>
      </c>
    </row>
    <row r="1617" spans="1:30" s="20" customFormat="1" ht="36" customHeight="1" x14ac:dyDescent="0.25">
      <c r="A1617" s="2">
        <f t="shared" si="855"/>
        <v>1561</v>
      </c>
      <c r="B1617" s="6">
        <f t="shared" si="862"/>
        <v>1561</v>
      </c>
      <c r="C1617" s="19" t="s">
        <v>895</v>
      </c>
      <c r="D1617" s="4">
        <f t="shared" si="852"/>
        <v>4368811.1999999993</v>
      </c>
      <c r="E1617" s="1">
        <f t="shared" si="850"/>
        <v>4318811.1999999993</v>
      </c>
      <c r="F1617" s="1">
        <f>804*1729.6</f>
        <v>1390598.4</v>
      </c>
      <c r="G1617" s="1">
        <f>1693*1729.6</f>
        <v>2928212.8</v>
      </c>
      <c r="H1617" s="1">
        <v>0</v>
      </c>
      <c r="I1617" s="1">
        <v>0</v>
      </c>
      <c r="J1617" s="1">
        <v>0</v>
      </c>
      <c r="K1617" s="1">
        <v>0</v>
      </c>
      <c r="L1617" s="2">
        <v>0</v>
      </c>
      <c r="M1617" s="1">
        <v>0</v>
      </c>
      <c r="N1617" s="1">
        <v>0</v>
      </c>
      <c r="O1617" s="1">
        <f>N1617*7750</f>
        <v>0</v>
      </c>
      <c r="P1617" s="1">
        <v>0</v>
      </c>
      <c r="Q1617" s="1">
        <f t="shared" si="851"/>
        <v>0</v>
      </c>
      <c r="R1617" s="1">
        <v>0</v>
      </c>
      <c r="S1617" s="1">
        <f t="shared" ref="S1617:S1619" si="863">R1617*3751</f>
        <v>0</v>
      </c>
      <c r="T1617" s="1">
        <v>0</v>
      </c>
      <c r="U1617" s="1">
        <v>50000</v>
      </c>
      <c r="V1617" s="1">
        <v>0</v>
      </c>
      <c r="W1617" s="1">
        <v>0</v>
      </c>
      <c r="X1617" s="1">
        <v>0</v>
      </c>
      <c r="Y1617" s="1">
        <v>0</v>
      </c>
      <c r="Z1617" s="1">
        <v>0</v>
      </c>
      <c r="AA1617" s="1">
        <v>0</v>
      </c>
      <c r="AB1617" s="1">
        <v>0</v>
      </c>
      <c r="AC1617" s="1">
        <v>0</v>
      </c>
      <c r="AD1617" s="1">
        <v>0</v>
      </c>
    </row>
    <row r="1618" spans="1:30" s="20" customFormat="1" ht="36" customHeight="1" x14ac:dyDescent="0.25">
      <c r="A1618" s="2">
        <f t="shared" si="855"/>
        <v>1562</v>
      </c>
      <c r="B1618" s="6">
        <f t="shared" si="862"/>
        <v>1562</v>
      </c>
      <c r="C1618" s="19" t="s">
        <v>898</v>
      </c>
      <c r="D1618" s="4">
        <f t="shared" si="852"/>
        <v>19714926.5</v>
      </c>
      <c r="E1618" s="1">
        <f t="shared" si="850"/>
        <v>10293626.5</v>
      </c>
      <c r="F1618" s="1">
        <f>804*2622.58</f>
        <v>2108554.3199999998</v>
      </c>
      <c r="G1618" s="1">
        <f>1693*2622.58</f>
        <v>4440027.9399999995</v>
      </c>
      <c r="H1618" s="1">
        <f>390*2622.58</f>
        <v>1022806.2</v>
      </c>
      <c r="I1618" s="1">
        <f>571*2622.58</f>
        <v>1497493.18</v>
      </c>
      <c r="J1618" s="1">
        <f>467*2622.58</f>
        <v>1224744.8599999999</v>
      </c>
      <c r="K1618" s="1">
        <v>0</v>
      </c>
      <c r="L1618" s="2">
        <v>0</v>
      </c>
      <c r="M1618" s="1">
        <v>0</v>
      </c>
      <c r="N1618" s="1">
        <v>580</v>
      </c>
      <c r="O1618" s="1">
        <f>N1618*7750</f>
        <v>4495000</v>
      </c>
      <c r="P1618" s="1">
        <v>0</v>
      </c>
      <c r="Q1618" s="1">
        <f t="shared" si="851"/>
        <v>0</v>
      </c>
      <c r="R1618" s="1">
        <v>1300</v>
      </c>
      <c r="S1618" s="1">
        <f t="shared" si="863"/>
        <v>4876300</v>
      </c>
      <c r="T1618" s="1">
        <v>0</v>
      </c>
      <c r="U1618" s="1">
        <v>50000</v>
      </c>
      <c r="V1618" s="1">
        <v>0</v>
      </c>
      <c r="W1618" s="1">
        <v>0</v>
      </c>
      <c r="X1618" s="1">
        <v>0</v>
      </c>
      <c r="Y1618" s="1">
        <v>0</v>
      </c>
      <c r="Z1618" s="1">
        <v>0</v>
      </c>
      <c r="AA1618" s="1">
        <v>0</v>
      </c>
      <c r="AB1618" s="1">
        <v>0</v>
      </c>
      <c r="AC1618" s="1">
        <v>0</v>
      </c>
      <c r="AD1618" s="1">
        <v>0</v>
      </c>
    </row>
    <row r="1619" spans="1:30" s="20" customFormat="1" ht="36" customHeight="1" x14ac:dyDescent="0.25">
      <c r="A1619" s="2">
        <f t="shared" si="855"/>
        <v>1563</v>
      </c>
      <c r="B1619" s="6">
        <f t="shared" si="862"/>
        <v>1563</v>
      </c>
      <c r="C1619" s="19" t="s">
        <v>902</v>
      </c>
      <c r="D1619" s="4">
        <f t="shared" si="852"/>
        <v>19553952</v>
      </c>
      <c r="E1619" s="1">
        <f t="shared" si="850"/>
        <v>11235077</v>
      </c>
      <c r="F1619" s="1">
        <f>804*2862.44</f>
        <v>2301401.7600000002</v>
      </c>
      <c r="G1619" s="1">
        <f>1693*2862.44</f>
        <v>4846110.92</v>
      </c>
      <c r="H1619" s="1">
        <f>390*2862.44</f>
        <v>1116351.6000000001</v>
      </c>
      <c r="I1619" s="1">
        <f>571*2862.44</f>
        <v>1634453.24</v>
      </c>
      <c r="J1619" s="1">
        <f>467*2862.44</f>
        <v>1336759.48</v>
      </c>
      <c r="K1619" s="1">
        <v>0</v>
      </c>
      <c r="L1619" s="2">
        <v>0</v>
      </c>
      <c r="M1619" s="1">
        <v>0</v>
      </c>
      <c r="N1619" s="1">
        <v>624.9</v>
      </c>
      <c r="O1619" s="1">
        <f>N1619*7750</f>
        <v>4842975</v>
      </c>
      <c r="P1619" s="1">
        <v>0</v>
      </c>
      <c r="Q1619" s="1">
        <f>P1619*1400</f>
        <v>0</v>
      </c>
      <c r="R1619" s="1">
        <v>900</v>
      </c>
      <c r="S1619" s="1">
        <f t="shared" si="863"/>
        <v>3375900</v>
      </c>
      <c r="T1619" s="1">
        <v>0</v>
      </c>
      <c r="U1619" s="1">
        <v>50000</v>
      </c>
      <c r="V1619" s="1">
        <v>0</v>
      </c>
      <c r="W1619" s="1">
        <v>50000</v>
      </c>
      <c r="X1619" s="1">
        <v>0</v>
      </c>
      <c r="Y1619" s="1">
        <v>0</v>
      </c>
      <c r="Z1619" s="1">
        <v>0</v>
      </c>
      <c r="AA1619" s="1">
        <v>0</v>
      </c>
      <c r="AB1619" s="1">
        <v>0</v>
      </c>
      <c r="AC1619" s="1">
        <v>0</v>
      </c>
      <c r="AD1619" s="1">
        <v>0</v>
      </c>
    </row>
    <row r="1620" spans="1:30" s="20" customFormat="1" ht="36" customHeight="1" x14ac:dyDescent="0.25">
      <c r="A1620" s="2">
        <f t="shared" si="855"/>
        <v>1564</v>
      </c>
      <c r="B1620" s="6">
        <f t="shared" si="862"/>
        <v>1564</v>
      </c>
      <c r="C1620" s="19" t="s">
        <v>903</v>
      </c>
      <c r="D1620" s="4">
        <f t="shared" si="852"/>
        <v>7736814.7400000002</v>
      </c>
      <c r="E1620" s="1">
        <f t="shared" si="850"/>
        <v>7686814.7400000002</v>
      </c>
      <c r="F1620" s="1">
        <f>804*3078.42</f>
        <v>2475049.6800000002</v>
      </c>
      <c r="G1620" s="1">
        <f>1693*3078.42</f>
        <v>5211765.0600000005</v>
      </c>
      <c r="H1620" s="1">
        <v>0</v>
      </c>
      <c r="I1620" s="1">
        <v>0</v>
      </c>
      <c r="J1620" s="1">
        <v>0</v>
      </c>
      <c r="K1620" s="1">
        <v>0</v>
      </c>
      <c r="L1620" s="2">
        <v>0</v>
      </c>
      <c r="M1620" s="1">
        <v>0</v>
      </c>
      <c r="N1620" s="1">
        <v>0</v>
      </c>
      <c r="O1620" s="1">
        <v>0</v>
      </c>
      <c r="P1620" s="1">
        <v>0</v>
      </c>
      <c r="Q1620" s="1">
        <f t="shared" si="851"/>
        <v>0</v>
      </c>
      <c r="R1620" s="1">
        <v>0</v>
      </c>
      <c r="S1620" s="1">
        <f t="shared" ref="S1620:S1630" si="864">R1620*3751</f>
        <v>0</v>
      </c>
      <c r="T1620" s="1">
        <v>0</v>
      </c>
      <c r="U1620" s="1">
        <v>50000</v>
      </c>
      <c r="V1620" s="1">
        <v>0</v>
      </c>
      <c r="W1620" s="1">
        <v>0</v>
      </c>
      <c r="X1620" s="1">
        <v>0</v>
      </c>
      <c r="Y1620" s="1">
        <v>0</v>
      </c>
      <c r="Z1620" s="1">
        <v>0</v>
      </c>
      <c r="AA1620" s="1">
        <v>0</v>
      </c>
      <c r="AB1620" s="1">
        <v>0</v>
      </c>
      <c r="AC1620" s="1">
        <v>0</v>
      </c>
      <c r="AD1620" s="1">
        <v>0</v>
      </c>
    </row>
    <row r="1621" spans="1:30" s="20" customFormat="1" ht="36" customHeight="1" x14ac:dyDescent="0.25">
      <c r="A1621" s="2">
        <f t="shared" si="855"/>
        <v>1565</v>
      </c>
      <c r="B1621" s="6">
        <f t="shared" si="862"/>
        <v>1565</v>
      </c>
      <c r="C1621" s="19" t="s">
        <v>904</v>
      </c>
      <c r="D1621" s="4">
        <f t="shared" si="852"/>
        <v>14248013.5</v>
      </c>
      <c r="E1621" s="1">
        <f t="shared" si="850"/>
        <v>9271713.5</v>
      </c>
      <c r="F1621" s="1">
        <f>804*2362.22</f>
        <v>1899224.88</v>
      </c>
      <c r="G1621" s="1">
        <f>1693*2362.22</f>
        <v>3999238.4599999995</v>
      </c>
      <c r="H1621" s="1">
        <f>390*2362.22</f>
        <v>921265.79999999993</v>
      </c>
      <c r="I1621" s="1">
        <f>571*2362.22</f>
        <v>1348827.6199999999</v>
      </c>
      <c r="J1621" s="1">
        <f>467*2362.22</f>
        <v>1103156.74</v>
      </c>
      <c r="K1621" s="1">
        <v>0</v>
      </c>
      <c r="L1621" s="2">
        <v>0</v>
      </c>
      <c r="M1621" s="1">
        <v>0</v>
      </c>
      <c r="N1621" s="1">
        <v>0</v>
      </c>
      <c r="O1621" s="1">
        <v>0</v>
      </c>
      <c r="P1621" s="1">
        <v>0</v>
      </c>
      <c r="Q1621" s="1">
        <f t="shared" si="851"/>
        <v>0</v>
      </c>
      <c r="R1621" s="1">
        <v>1300</v>
      </c>
      <c r="S1621" s="1">
        <f t="shared" si="864"/>
        <v>4876300</v>
      </c>
      <c r="T1621" s="1">
        <v>0</v>
      </c>
      <c r="U1621" s="1">
        <v>50000</v>
      </c>
      <c r="V1621" s="1">
        <v>0</v>
      </c>
      <c r="W1621" s="1">
        <v>50000</v>
      </c>
      <c r="X1621" s="1">
        <v>0</v>
      </c>
      <c r="Y1621" s="1">
        <v>0</v>
      </c>
      <c r="Z1621" s="1">
        <v>0</v>
      </c>
      <c r="AA1621" s="1">
        <v>0</v>
      </c>
      <c r="AB1621" s="1">
        <v>0</v>
      </c>
      <c r="AC1621" s="1">
        <v>0</v>
      </c>
      <c r="AD1621" s="1">
        <v>0</v>
      </c>
    </row>
    <row r="1622" spans="1:30" s="20" customFormat="1" ht="36" customHeight="1" x14ac:dyDescent="0.25">
      <c r="A1622" s="2">
        <f t="shared" si="855"/>
        <v>1566</v>
      </c>
      <c r="B1622" s="6">
        <f t="shared" si="862"/>
        <v>1566</v>
      </c>
      <c r="C1622" s="19" t="s">
        <v>906</v>
      </c>
      <c r="D1622" s="4">
        <f t="shared" si="852"/>
        <v>13996264</v>
      </c>
      <c r="E1622" s="1">
        <f t="shared" si="850"/>
        <v>9019964</v>
      </c>
      <c r="F1622" s="1">
        <f>804*2298.08</f>
        <v>1847656.3199999998</v>
      </c>
      <c r="G1622" s="1">
        <f>1693*2298.08</f>
        <v>3890649.44</v>
      </c>
      <c r="H1622" s="1">
        <f>390*2298.08</f>
        <v>896251.2</v>
      </c>
      <c r="I1622" s="1">
        <f>571*2298.08</f>
        <v>1312203.68</v>
      </c>
      <c r="J1622" s="1">
        <f>467*2298.08</f>
        <v>1073203.3599999999</v>
      </c>
      <c r="K1622" s="1">
        <v>0</v>
      </c>
      <c r="L1622" s="2">
        <v>0</v>
      </c>
      <c r="M1622" s="1">
        <v>0</v>
      </c>
      <c r="N1622" s="1">
        <v>0</v>
      </c>
      <c r="O1622" s="1">
        <v>0</v>
      </c>
      <c r="P1622" s="1">
        <v>0</v>
      </c>
      <c r="Q1622" s="1">
        <f t="shared" si="851"/>
        <v>0</v>
      </c>
      <c r="R1622" s="1">
        <v>1300</v>
      </c>
      <c r="S1622" s="1">
        <f t="shared" si="864"/>
        <v>4876300</v>
      </c>
      <c r="T1622" s="1">
        <v>0</v>
      </c>
      <c r="U1622" s="1">
        <v>50000</v>
      </c>
      <c r="V1622" s="1">
        <v>0</v>
      </c>
      <c r="W1622" s="1">
        <v>50000</v>
      </c>
      <c r="X1622" s="1">
        <v>0</v>
      </c>
      <c r="Y1622" s="1">
        <v>0</v>
      </c>
      <c r="Z1622" s="1">
        <v>0</v>
      </c>
      <c r="AA1622" s="1">
        <v>0</v>
      </c>
      <c r="AB1622" s="1">
        <v>0</v>
      </c>
      <c r="AC1622" s="1">
        <v>0</v>
      </c>
      <c r="AD1622" s="1">
        <v>0</v>
      </c>
    </row>
    <row r="1623" spans="1:30" s="20" customFormat="1" ht="36" customHeight="1" x14ac:dyDescent="0.25">
      <c r="A1623" s="2">
        <f t="shared" si="855"/>
        <v>1567</v>
      </c>
      <c r="B1623" s="6">
        <f t="shared" si="862"/>
        <v>1567</v>
      </c>
      <c r="C1623" s="19" t="s">
        <v>908</v>
      </c>
      <c r="D1623" s="4">
        <f t="shared" si="852"/>
        <v>31785053</v>
      </c>
      <c r="E1623" s="1">
        <f t="shared" si="850"/>
        <v>16191253</v>
      </c>
      <c r="F1623" s="1">
        <f>804*4125.16</f>
        <v>3316628.6399999997</v>
      </c>
      <c r="G1623" s="1">
        <f>1693*4125.16</f>
        <v>6983895.8799999999</v>
      </c>
      <c r="H1623" s="1">
        <f>390*4125.16</f>
        <v>1608812.4</v>
      </c>
      <c r="I1623" s="1">
        <f>571*4125.16</f>
        <v>2355466.36</v>
      </c>
      <c r="J1623" s="1">
        <f>467*4125.16</f>
        <v>1926449.72</v>
      </c>
      <c r="K1623" s="1">
        <v>0</v>
      </c>
      <c r="L1623" s="2">
        <v>0</v>
      </c>
      <c r="M1623" s="1">
        <v>0</v>
      </c>
      <c r="N1623" s="1">
        <v>886</v>
      </c>
      <c r="O1623" s="1">
        <f>N1623*7750</f>
        <v>6866500</v>
      </c>
      <c r="P1623" s="1">
        <v>0</v>
      </c>
      <c r="Q1623" s="1">
        <f t="shared" si="851"/>
        <v>0</v>
      </c>
      <c r="R1623" s="1">
        <v>2300</v>
      </c>
      <c r="S1623" s="1">
        <f t="shared" si="864"/>
        <v>8627300</v>
      </c>
      <c r="T1623" s="1">
        <v>0</v>
      </c>
      <c r="U1623" s="1">
        <v>50000</v>
      </c>
      <c r="V1623" s="1">
        <v>0</v>
      </c>
      <c r="W1623" s="1">
        <v>50000</v>
      </c>
      <c r="X1623" s="1">
        <v>0</v>
      </c>
      <c r="Y1623" s="1">
        <v>0</v>
      </c>
      <c r="Z1623" s="1">
        <v>0</v>
      </c>
      <c r="AA1623" s="1">
        <v>0</v>
      </c>
      <c r="AB1623" s="1">
        <v>0</v>
      </c>
      <c r="AC1623" s="1">
        <v>0</v>
      </c>
      <c r="AD1623" s="1">
        <v>0</v>
      </c>
    </row>
    <row r="1624" spans="1:30" s="20" customFormat="1" ht="36" customHeight="1" x14ac:dyDescent="0.25">
      <c r="A1624" s="2">
        <f t="shared" si="855"/>
        <v>1568</v>
      </c>
      <c r="B1624" s="6">
        <f t="shared" ref="B1624" si="865">A1624</f>
        <v>1568</v>
      </c>
      <c r="C1624" s="19" t="s">
        <v>1797</v>
      </c>
      <c r="D1624" s="4">
        <f t="shared" si="852"/>
        <v>2762500</v>
      </c>
      <c r="E1624" s="1">
        <f t="shared" ref="E1624" si="866">SUM(F1624:K1624)</f>
        <v>0</v>
      </c>
      <c r="F1624" s="1">
        <v>0</v>
      </c>
      <c r="G1624" s="1">
        <v>0</v>
      </c>
      <c r="H1624" s="1">
        <v>0</v>
      </c>
      <c r="I1624" s="1">
        <v>0</v>
      </c>
      <c r="J1624" s="1">
        <v>0</v>
      </c>
      <c r="K1624" s="1">
        <v>0</v>
      </c>
      <c r="L1624" s="2">
        <v>0</v>
      </c>
      <c r="M1624" s="1">
        <v>0</v>
      </c>
      <c r="N1624" s="1">
        <v>350</v>
      </c>
      <c r="O1624" s="1">
        <f>N1624*7750</f>
        <v>2712500</v>
      </c>
      <c r="P1624" s="1">
        <v>0</v>
      </c>
      <c r="Q1624" s="1">
        <f t="shared" si="851"/>
        <v>0</v>
      </c>
      <c r="R1624" s="1">
        <v>0</v>
      </c>
      <c r="S1624" s="1">
        <f t="shared" si="864"/>
        <v>0</v>
      </c>
      <c r="T1624" s="1">
        <v>0</v>
      </c>
      <c r="U1624" s="1">
        <v>0</v>
      </c>
      <c r="V1624" s="1">
        <v>0</v>
      </c>
      <c r="W1624" s="1">
        <v>50000</v>
      </c>
      <c r="X1624" s="1">
        <v>0</v>
      </c>
      <c r="Y1624" s="1">
        <v>0</v>
      </c>
      <c r="Z1624" s="1">
        <v>0</v>
      </c>
      <c r="AA1624" s="1">
        <v>0</v>
      </c>
      <c r="AB1624" s="1">
        <v>0</v>
      </c>
      <c r="AC1624" s="1">
        <v>0</v>
      </c>
      <c r="AD1624" s="1">
        <v>0</v>
      </c>
    </row>
    <row r="1625" spans="1:30" s="20" customFormat="1" ht="36" customHeight="1" x14ac:dyDescent="0.25">
      <c r="A1625" s="2">
        <f t="shared" si="855"/>
        <v>1569</v>
      </c>
      <c r="B1625" s="6">
        <f t="shared" si="862"/>
        <v>1569</v>
      </c>
      <c r="C1625" s="19" t="s">
        <v>909</v>
      </c>
      <c r="D1625" s="4">
        <f t="shared" si="852"/>
        <v>12329715.25</v>
      </c>
      <c r="E1625" s="1">
        <f t="shared" si="850"/>
        <v>10429235.25</v>
      </c>
      <c r="F1625" s="1">
        <f>804*2657.13</f>
        <v>2136332.52</v>
      </c>
      <c r="G1625" s="1">
        <f>1693*2657.13</f>
        <v>4498521.09</v>
      </c>
      <c r="H1625" s="1">
        <f>390*2657.13</f>
        <v>1036280.7000000001</v>
      </c>
      <c r="I1625" s="1">
        <f>571*2657.13</f>
        <v>1517221.23</v>
      </c>
      <c r="J1625" s="1">
        <f>467*2657.13</f>
        <v>1240879.71</v>
      </c>
      <c r="K1625" s="1">
        <v>0</v>
      </c>
      <c r="L1625" s="2">
        <v>0</v>
      </c>
      <c r="M1625" s="1">
        <v>0</v>
      </c>
      <c r="N1625" s="1">
        <v>0</v>
      </c>
      <c r="O1625" s="1">
        <v>0</v>
      </c>
      <c r="P1625" s="1">
        <v>0</v>
      </c>
      <c r="Q1625" s="1">
        <f t="shared" ref="Q1625:Q1629" si="867">P1625*1400</f>
        <v>0</v>
      </c>
      <c r="R1625" s="1">
        <v>480</v>
      </c>
      <c r="S1625" s="1">
        <f t="shared" ref="S1625:S1629" si="868">R1625*3751</f>
        <v>1800480</v>
      </c>
      <c r="T1625" s="1">
        <v>0</v>
      </c>
      <c r="U1625" s="1">
        <v>50000</v>
      </c>
      <c r="V1625" s="1">
        <v>0</v>
      </c>
      <c r="W1625" s="1">
        <v>50000</v>
      </c>
      <c r="X1625" s="1">
        <v>0</v>
      </c>
      <c r="Y1625" s="1">
        <v>0</v>
      </c>
      <c r="Z1625" s="1">
        <v>0</v>
      </c>
      <c r="AA1625" s="1">
        <v>0</v>
      </c>
      <c r="AB1625" s="1">
        <v>0</v>
      </c>
      <c r="AC1625" s="1">
        <v>0</v>
      </c>
      <c r="AD1625" s="1">
        <v>0</v>
      </c>
    </row>
    <row r="1626" spans="1:30" s="20" customFormat="1" ht="36" customHeight="1" x14ac:dyDescent="0.25">
      <c r="A1626" s="2">
        <f t="shared" si="855"/>
        <v>1570</v>
      </c>
      <c r="B1626" s="6">
        <f t="shared" si="862"/>
        <v>1570</v>
      </c>
      <c r="C1626" s="19" t="s">
        <v>910</v>
      </c>
      <c r="D1626" s="4">
        <f t="shared" si="852"/>
        <v>2497720</v>
      </c>
      <c r="E1626" s="1">
        <f t="shared" si="850"/>
        <v>1084870</v>
      </c>
      <c r="F1626" s="1">
        <f>804*276.4</f>
        <v>222225.59999999998</v>
      </c>
      <c r="G1626" s="1">
        <f>1693*276.4</f>
        <v>467945.19999999995</v>
      </c>
      <c r="H1626" s="1">
        <f>390*276.4</f>
        <v>107795.99999999999</v>
      </c>
      <c r="I1626" s="1">
        <f>571*276.4</f>
        <v>157824.4</v>
      </c>
      <c r="J1626" s="1">
        <f>467*276.4</f>
        <v>129078.79999999999</v>
      </c>
      <c r="K1626" s="1">
        <v>0</v>
      </c>
      <c r="L1626" s="2">
        <v>0</v>
      </c>
      <c r="M1626" s="1">
        <v>0</v>
      </c>
      <c r="N1626" s="1">
        <v>0</v>
      </c>
      <c r="O1626" s="1">
        <v>0</v>
      </c>
      <c r="P1626" s="1">
        <v>0</v>
      </c>
      <c r="Q1626" s="1">
        <f t="shared" si="867"/>
        <v>0</v>
      </c>
      <c r="R1626" s="1">
        <v>350</v>
      </c>
      <c r="S1626" s="1">
        <f t="shared" si="868"/>
        <v>1312850</v>
      </c>
      <c r="T1626" s="1">
        <v>0</v>
      </c>
      <c r="U1626" s="1">
        <v>50000</v>
      </c>
      <c r="V1626" s="1">
        <v>0</v>
      </c>
      <c r="W1626" s="1">
        <v>50000</v>
      </c>
      <c r="X1626" s="1">
        <v>0</v>
      </c>
      <c r="Y1626" s="1">
        <v>0</v>
      </c>
      <c r="Z1626" s="1">
        <v>0</v>
      </c>
      <c r="AA1626" s="1">
        <v>0</v>
      </c>
      <c r="AB1626" s="1">
        <v>0</v>
      </c>
      <c r="AC1626" s="1">
        <v>0</v>
      </c>
      <c r="AD1626" s="1">
        <v>0</v>
      </c>
    </row>
    <row r="1627" spans="1:30" s="20" customFormat="1" ht="36" customHeight="1" x14ac:dyDescent="0.25">
      <c r="A1627" s="2">
        <f t="shared" si="855"/>
        <v>1571</v>
      </c>
      <c r="B1627" s="6">
        <f>A1627</f>
        <v>1571</v>
      </c>
      <c r="C1627" s="19" t="s">
        <v>912</v>
      </c>
      <c r="D1627" s="4">
        <f t="shared" si="852"/>
        <v>3301782.25</v>
      </c>
      <c r="E1627" s="1">
        <f>SUM(F1627:K1627)</f>
        <v>1963952.2500000002</v>
      </c>
      <c r="F1627" s="1">
        <f>804*500.37</f>
        <v>402297.48</v>
      </c>
      <c r="G1627" s="1">
        <f>1693*500.37</f>
        <v>847126.41</v>
      </c>
      <c r="H1627" s="1">
        <f>390*500.37</f>
        <v>195144.3</v>
      </c>
      <c r="I1627" s="1">
        <f>571*500.37</f>
        <v>285711.27</v>
      </c>
      <c r="J1627" s="1">
        <f>467*500.37</f>
        <v>233672.79</v>
      </c>
      <c r="K1627" s="1">
        <v>0</v>
      </c>
      <c r="L1627" s="2">
        <v>0</v>
      </c>
      <c r="M1627" s="1">
        <v>0</v>
      </c>
      <c r="N1627" s="1">
        <v>0</v>
      </c>
      <c r="O1627" s="1">
        <v>0</v>
      </c>
      <c r="P1627" s="1">
        <v>0</v>
      </c>
      <c r="Q1627" s="1">
        <f>P1627*1400</f>
        <v>0</v>
      </c>
      <c r="R1627" s="1">
        <v>330</v>
      </c>
      <c r="S1627" s="1">
        <f>R1627*3751</f>
        <v>1237830</v>
      </c>
      <c r="T1627" s="1">
        <v>0</v>
      </c>
      <c r="U1627" s="1">
        <v>50000</v>
      </c>
      <c r="V1627" s="1">
        <v>0</v>
      </c>
      <c r="W1627" s="1">
        <v>50000</v>
      </c>
      <c r="X1627" s="1">
        <v>0</v>
      </c>
      <c r="Y1627" s="1">
        <v>0</v>
      </c>
      <c r="Z1627" s="1">
        <v>0</v>
      </c>
      <c r="AA1627" s="1">
        <v>0</v>
      </c>
      <c r="AB1627" s="1">
        <v>0</v>
      </c>
      <c r="AC1627" s="1">
        <v>0</v>
      </c>
      <c r="AD1627" s="1">
        <v>0</v>
      </c>
    </row>
    <row r="1628" spans="1:30" s="20" customFormat="1" ht="36" customHeight="1" x14ac:dyDescent="0.25">
      <c r="A1628" s="2">
        <f t="shared" si="855"/>
        <v>1572</v>
      </c>
      <c r="B1628" s="6">
        <f t="shared" si="862"/>
        <v>1572</v>
      </c>
      <c r="C1628" s="19" t="s">
        <v>911</v>
      </c>
      <c r="D1628" s="4">
        <f t="shared" si="852"/>
        <v>3250992.5</v>
      </c>
      <c r="E1628" s="1">
        <f t="shared" si="850"/>
        <v>2025692.5000000002</v>
      </c>
      <c r="F1628" s="1">
        <f>804*516.1</f>
        <v>414944.4</v>
      </c>
      <c r="G1628" s="1">
        <f>1693*516.1</f>
        <v>873757.3</v>
      </c>
      <c r="H1628" s="1">
        <f>390*516.1</f>
        <v>201279</v>
      </c>
      <c r="I1628" s="1">
        <f>571*516.1</f>
        <v>294693.10000000003</v>
      </c>
      <c r="J1628" s="1">
        <f>467*516.1</f>
        <v>241018.7</v>
      </c>
      <c r="K1628" s="1">
        <v>0</v>
      </c>
      <c r="L1628" s="2">
        <v>0</v>
      </c>
      <c r="M1628" s="1">
        <v>0</v>
      </c>
      <c r="N1628" s="1">
        <v>0</v>
      </c>
      <c r="O1628" s="1">
        <v>0</v>
      </c>
      <c r="P1628" s="1">
        <v>0</v>
      </c>
      <c r="Q1628" s="1">
        <f t="shared" si="867"/>
        <v>0</v>
      </c>
      <c r="R1628" s="1">
        <v>300</v>
      </c>
      <c r="S1628" s="1">
        <f t="shared" si="868"/>
        <v>1125300</v>
      </c>
      <c r="T1628" s="1">
        <v>0</v>
      </c>
      <c r="U1628" s="1">
        <v>50000</v>
      </c>
      <c r="V1628" s="1">
        <v>0</v>
      </c>
      <c r="W1628" s="1">
        <v>50000</v>
      </c>
      <c r="X1628" s="1">
        <v>0</v>
      </c>
      <c r="Y1628" s="1">
        <v>0</v>
      </c>
      <c r="Z1628" s="1">
        <v>0</v>
      </c>
      <c r="AA1628" s="1">
        <v>0</v>
      </c>
      <c r="AB1628" s="1">
        <v>0</v>
      </c>
      <c r="AC1628" s="1">
        <v>0</v>
      </c>
      <c r="AD1628" s="1">
        <v>0</v>
      </c>
    </row>
    <row r="1629" spans="1:30" s="20" customFormat="1" ht="36" customHeight="1" x14ac:dyDescent="0.25">
      <c r="A1629" s="2">
        <f t="shared" si="855"/>
        <v>1573</v>
      </c>
      <c r="B1629" s="6">
        <f t="shared" si="862"/>
        <v>1573</v>
      </c>
      <c r="C1629" s="19" t="s">
        <v>913</v>
      </c>
      <c r="D1629" s="4">
        <f t="shared" si="852"/>
        <v>12918272.5</v>
      </c>
      <c r="E1629" s="1">
        <f t="shared" si="850"/>
        <v>9442372.5</v>
      </c>
      <c r="F1629" s="1">
        <f>804*2405.7</f>
        <v>1934182.7999999998</v>
      </c>
      <c r="G1629" s="1">
        <f>1693*2405.7</f>
        <v>4072850.0999999996</v>
      </c>
      <c r="H1629" s="1">
        <f>390*2405.7</f>
        <v>938222.99999999988</v>
      </c>
      <c r="I1629" s="1">
        <f>571*2405.7</f>
        <v>1373654.7</v>
      </c>
      <c r="J1629" s="1">
        <f>467*2405.7</f>
        <v>1123461.8999999999</v>
      </c>
      <c r="K1629" s="1">
        <v>0</v>
      </c>
      <c r="L1629" s="2">
        <v>0</v>
      </c>
      <c r="M1629" s="1">
        <v>0</v>
      </c>
      <c r="N1629" s="1">
        <v>0</v>
      </c>
      <c r="O1629" s="1">
        <v>0</v>
      </c>
      <c r="P1629" s="1">
        <v>0</v>
      </c>
      <c r="Q1629" s="1">
        <f t="shared" si="867"/>
        <v>0</v>
      </c>
      <c r="R1629" s="1">
        <v>900</v>
      </c>
      <c r="S1629" s="1">
        <f t="shared" si="868"/>
        <v>3375900</v>
      </c>
      <c r="T1629" s="1">
        <v>0</v>
      </c>
      <c r="U1629" s="1">
        <v>50000</v>
      </c>
      <c r="V1629" s="1">
        <v>0</v>
      </c>
      <c r="W1629" s="1">
        <v>50000</v>
      </c>
      <c r="X1629" s="1">
        <v>0</v>
      </c>
      <c r="Y1629" s="1">
        <v>0</v>
      </c>
      <c r="Z1629" s="1">
        <v>0</v>
      </c>
      <c r="AA1629" s="1">
        <v>0</v>
      </c>
      <c r="AB1629" s="1">
        <v>0</v>
      </c>
      <c r="AC1629" s="1">
        <v>0</v>
      </c>
      <c r="AD1629" s="1">
        <v>0</v>
      </c>
    </row>
    <row r="1630" spans="1:30" s="20" customFormat="1" ht="36" customHeight="1" x14ac:dyDescent="0.25">
      <c r="A1630" s="2">
        <f t="shared" si="855"/>
        <v>1574</v>
      </c>
      <c r="B1630" s="6">
        <f t="shared" si="862"/>
        <v>1574</v>
      </c>
      <c r="C1630" s="19" t="s">
        <v>915</v>
      </c>
      <c r="D1630" s="4">
        <f t="shared" si="852"/>
        <v>17693439.600000001</v>
      </c>
      <c r="E1630" s="1">
        <f t="shared" si="850"/>
        <v>3541539.5999999996</v>
      </c>
      <c r="F1630" s="1">
        <f>804*4404.9</f>
        <v>3541539.5999999996</v>
      </c>
      <c r="G1630" s="1">
        <v>0</v>
      </c>
      <c r="H1630" s="1">
        <v>0</v>
      </c>
      <c r="I1630" s="1">
        <v>0</v>
      </c>
      <c r="J1630" s="1">
        <v>0</v>
      </c>
      <c r="K1630" s="1">
        <v>0</v>
      </c>
      <c r="L1630" s="2">
        <v>0</v>
      </c>
      <c r="M1630" s="1">
        <v>0</v>
      </c>
      <c r="N1630" s="1">
        <v>900</v>
      </c>
      <c r="O1630" s="1">
        <f>N1630*7750</f>
        <v>6975000</v>
      </c>
      <c r="P1630" s="1">
        <v>0</v>
      </c>
      <c r="Q1630" s="1">
        <f t="shared" si="851"/>
        <v>0</v>
      </c>
      <c r="R1630" s="1">
        <v>1900</v>
      </c>
      <c r="S1630" s="1">
        <f t="shared" si="864"/>
        <v>7126900</v>
      </c>
      <c r="T1630" s="1">
        <v>0</v>
      </c>
      <c r="U1630" s="1">
        <v>50000</v>
      </c>
      <c r="V1630" s="1">
        <v>0</v>
      </c>
      <c r="W1630" s="1">
        <v>0</v>
      </c>
      <c r="X1630" s="1">
        <v>0</v>
      </c>
      <c r="Y1630" s="1">
        <v>0</v>
      </c>
      <c r="Z1630" s="1">
        <v>0</v>
      </c>
      <c r="AA1630" s="1">
        <v>0</v>
      </c>
      <c r="AB1630" s="1">
        <v>0</v>
      </c>
      <c r="AC1630" s="1">
        <v>0</v>
      </c>
      <c r="AD1630" s="1">
        <v>0</v>
      </c>
    </row>
    <row r="1631" spans="1:30" s="20" customFormat="1" ht="36" customHeight="1" x14ac:dyDescent="0.25">
      <c r="A1631" s="2">
        <f t="shared" si="855"/>
        <v>1575</v>
      </c>
      <c r="B1631" s="6">
        <f t="shared" si="862"/>
        <v>1575</v>
      </c>
      <c r="C1631" s="19" t="s">
        <v>916</v>
      </c>
      <c r="D1631" s="4">
        <f t="shared" si="852"/>
        <v>5812500</v>
      </c>
      <c r="E1631" s="1">
        <f t="shared" si="850"/>
        <v>0</v>
      </c>
      <c r="F1631" s="1">
        <v>0</v>
      </c>
      <c r="G1631" s="1">
        <v>0</v>
      </c>
      <c r="H1631" s="1">
        <v>0</v>
      </c>
      <c r="I1631" s="1">
        <v>0</v>
      </c>
      <c r="J1631" s="1">
        <v>0</v>
      </c>
      <c r="K1631" s="1">
        <v>0</v>
      </c>
      <c r="L1631" s="2">
        <v>0</v>
      </c>
      <c r="M1631" s="1">
        <v>0</v>
      </c>
      <c r="N1631" s="1">
        <v>750</v>
      </c>
      <c r="O1631" s="1">
        <f>N1631*7750</f>
        <v>5812500</v>
      </c>
      <c r="P1631" s="1">
        <v>0</v>
      </c>
      <c r="Q1631" s="1">
        <f t="shared" si="851"/>
        <v>0</v>
      </c>
      <c r="R1631" s="1">
        <v>0</v>
      </c>
      <c r="S1631" s="1">
        <f t="shared" ref="S1631:S1636" si="869">R1631*3751</f>
        <v>0</v>
      </c>
      <c r="T1631" s="1">
        <v>0</v>
      </c>
      <c r="U1631" s="1">
        <v>0</v>
      </c>
      <c r="V1631" s="1">
        <v>0</v>
      </c>
      <c r="W1631" s="1">
        <v>0</v>
      </c>
      <c r="X1631" s="1">
        <v>0</v>
      </c>
      <c r="Y1631" s="1">
        <v>0</v>
      </c>
      <c r="Z1631" s="1">
        <v>0</v>
      </c>
      <c r="AA1631" s="1">
        <v>0</v>
      </c>
      <c r="AB1631" s="1">
        <v>0</v>
      </c>
      <c r="AC1631" s="1">
        <v>0</v>
      </c>
      <c r="AD1631" s="1">
        <v>0</v>
      </c>
    </row>
    <row r="1632" spans="1:30" s="20" customFormat="1" ht="36" customHeight="1" x14ac:dyDescent="0.25">
      <c r="A1632" s="2">
        <f t="shared" si="855"/>
        <v>1576</v>
      </c>
      <c r="B1632" s="6">
        <f t="shared" si="862"/>
        <v>1576</v>
      </c>
      <c r="C1632" s="19" t="s">
        <v>919</v>
      </c>
      <c r="D1632" s="4">
        <f t="shared" si="852"/>
        <v>14064337.59</v>
      </c>
      <c r="E1632" s="1">
        <f t="shared" si="850"/>
        <v>14014337.59</v>
      </c>
      <c r="F1632" s="1">
        <f>804*5612.47</f>
        <v>4512425.88</v>
      </c>
      <c r="G1632" s="1">
        <f>1693*5612.47</f>
        <v>9501911.7100000009</v>
      </c>
      <c r="H1632" s="1">
        <v>0</v>
      </c>
      <c r="I1632" s="1">
        <v>0</v>
      </c>
      <c r="J1632" s="1">
        <v>0</v>
      </c>
      <c r="K1632" s="1">
        <v>0</v>
      </c>
      <c r="L1632" s="2">
        <v>0</v>
      </c>
      <c r="M1632" s="1">
        <v>0</v>
      </c>
      <c r="N1632" s="1">
        <v>0</v>
      </c>
      <c r="O1632" s="1">
        <v>0</v>
      </c>
      <c r="P1632" s="1">
        <v>0</v>
      </c>
      <c r="Q1632" s="1">
        <v>0</v>
      </c>
      <c r="R1632" s="1">
        <v>0</v>
      </c>
      <c r="S1632" s="1">
        <v>0</v>
      </c>
      <c r="T1632" s="1">
        <v>0</v>
      </c>
      <c r="U1632" s="1">
        <v>50000</v>
      </c>
      <c r="V1632" s="1">
        <v>0</v>
      </c>
      <c r="W1632" s="1">
        <v>0</v>
      </c>
      <c r="X1632" s="1">
        <v>0</v>
      </c>
      <c r="Y1632" s="1">
        <v>0</v>
      </c>
      <c r="Z1632" s="1">
        <v>0</v>
      </c>
      <c r="AA1632" s="1">
        <v>0</v>
      </c>
      <c r="AB1632" s="1">
        <v>0</v>
      </c>
      <c r="AC1632" s="1">
        <v>0</v>
      </c>
      <c r="AD1632" s="1">
        <v>0</v>
      </c>
    </row>
    <row r="1633" spans="1:30" s="20" customFormat="1" ht="36" customHeight="1" x14ac:dyDescent="0.25">
      <c r="A1633" s="2">
        <f t="shared" si="855"/>
        <v>1577</v>
      </c>
      <c r="B1633" s="6">
        <f t="shared" si="862"/>
        <v>1577</v>
      </c>
      <c r="C1633" s="19" t="s">
        <v>920</v>
      </c>
      <c r="D1633" s="4">
        <f t="shared" si="852"/>
        <v>13043938.539999999</v>
      </c>
      <c r="E1633" s="1">
        <f t="shared" ref="E1633:E1694" si="870">SUM(F1633:K1633)</f>
        <v>12993938.539999999</v>
      </c>
      <c r="F1633" s="1">
        <f>804*5203.82</f>
        <v>4183871.28</v>
      </c>
      <c r="G1633" s="1">
        <f>1693*5203.82</f>
        <v>8810067.2599999998</v>
      </c>
      <c r="H1633" s="1">
        <v>0</v>
      </c>
      <c r="I1633" s="1">
        <v>0</v>
      </c>
      <c r="J1633" s="1">
        <v>0</v>
      </c>
      <c r="K1633" s="1">
        <v>0</v>
      </c>
      <c r="L1633" s="2">
        <v>0</v>
      </c>
      <c r="M1633" s="1">
        <v>0</v>
      </c>
      <c r="N1633" s="1">
        <v>0</v>
      </c>
      <c r="O1633" s="1">
        <v>0</v>
      </c>
      <c r="P1633" s="1">
        <v>0</v>
      </c>
      <c r="Q1633" s="1">
        <v>0</v>
      </c>
      <c r="R1633" s="1">
        <v>0</v>
      </c>
      <c r="S1633" s="1">
        <v>0</v>
      </c>
      <c r="T1633" s="1">
        <v>0</v>
      </c>
      <c r="U1633" s="1">
        <v>50000</v>
      </c>
      <c r="V1633" s="1">
        <v>0</v>
      </c>
      <c r="W1633" s="1">
        <v>0</v>
      </c>
      <c r="X1633" s="1">
        <v>0</v>
      </c>
      <c r="Y1633" s="1">
        <v>0</v>
      </c>
      <c r="Z1633" s="1">
        <v>0</v>
      </c>
      <c r="AA1633" s="1">
        <v>0</v>
      </c>
      <c r="AB1633" s="1">
        <v>0</v>
      </c>
      <c r="AC1633" s="1">
        <v>0</v>
      </c>
      <c r="AD1633" s="1">
        <v>0</v>
      </c>
    </row>
    <row r="1634" spans="1:30" s="20" customFormat="1" ht="36" customHeight="1" x14ac:dyDescent="0.25">
      <c r="A1634" s="2">
        <f t="shared" si="855"/>
        <v>1578</v>
      </c>
      <c r="B1634" s="6">
        <f t="shared" si="862"/>
        <v>1578</v>
      </c>
      <c r="C1634" s="19" t="s">
        <v>921</v>
      </c>
      <c r="D1634" s="4">
        <f t="shared" si="852"/>
        <v>28681918.100000001</v>
      </c>
      <c r="E1634" s="1">
        <f t="shared" si="870"/>
        <v>19836086.5</v>
      </c>
      <c r="F1634" s="1">
        <f>804*5053.78</f>
        <v>4063239.1199999996</v>
      </c>
      <c r="G1634" s="1">
        <f>1693*5053.78</f>
        <v>8556049.5399999991</v>
      </c>
      <c r="H1634" s="1">
        <f>390*5053.78</f>
        <v>1970974.2</v>
      </c>
      <c r="I1634" s="1">
        <f>571*5053.78</f>
        <v>2885708.38</v>
      </c>
      <c r="J1634" s="1">
        <f>467*5053.78</f>
        <v>2360115.2599999998</v>
      </c>
      <c r="K1634" s="1">
        <v>0</v>
      </c>
      <c r="L1634" s="2">
        <v>0</v>
      </c>
      <c r="M1634" s="1">
        <v>0</v>
      </c>
      <c r="N1634" s="1">
        <v>0</v>
      </c>
      <c r="O1634" s="1">
        <v>0</v>
      </c>
      <c r="P1634" s="1">
        <v>0</v>
      </c>
      <c r="Q1634" s="1">
        <f>P1634*1400</f>
        <v>0</v>
      </c>
      <c r="R1634" s="1">
        <v>2331.6</v>
      </c>
      <c r="S1634" s="1">
        <f>R1634*3751</f>
        <v>8745831.5999999996</v>
      </c>
      <c r="T1634" s="1">
        <v>0</v>
      </c>
      <c r="U1634" s="1">
        <v>50000</v>
      </c>
      <c r="V1634" s="1">
        <v>0</v>
      </c>
      <c r="W1634" s="1">
        <v>50000</v>
      </c>
      <c r="X1634" s="1">
        <v>0</v>
      </c>
      <c r="Y1634" s="1">
        <v>0</v>
      </c>
      <c r="Z1634" s="1">
        <v>0</v>
      </c>
      <c r="AA1634" s="1">
        <v>0</v>
      </c>
      <c r="AB1634" s="1">
        <v>0</v>
      </c>
      <c r="AC1634" s="1">
        <v>0</v>
      </c>
      <c r="AD1634" s="1">
        <v>0</v>
      </c>
    </row>
    <row r="1635" spans="1:30" s="20" customFormat="1" ht="36" customHeight="1" x14ac:dyDescent="0.25">
      <c r="A1635" s="2">
        <f t="shared" si="855"/>
        <v>1579</v>
      </c>
      <c r="B1635" s="6">
        <f t="shared" si="862"/>
        <v>1579</v>
      </c>
      <c r="C1635" s="19" t="s">
        <v>922</v>
      </c>
      <c r="D1635" s="4">
        <f t="shared" si="852"/>
        <v>13808853.790000001</v>
      </c>
      <c r="E1635" s="1">
        <f t="shared" si="870"/>
        <v>12849986.49</v>
      </c>
      <c r="F1635" s="1">
        <f>804*5146.17</f>
        <v>4137520.68</v>
      </c>
      <c r="G1635" s="1">
        <f>1693*5146.17</f>
        <v>8712465.8100000005</v>
      </c>
      <c r="H1635" s="1">
        <v>0</v>
      </c>
      <c r="I1635" s="1">
        <v>0</v>
      </c>
      <c r="J1635" s="1">
        <v>0</v>
      </c>
      <c r="K1635" s="1">
        <v>0</v>
      </c>
      <c r="L1635" s="2">
        <v>0</v>
      </c>
      <c r="M1635" s="1">
        <v>0</v>
      </c>
      <c r="N1635" s="1">
        <v>0</v>
      </c>
      <c r="O1635" s="1">
        <v>0</v>
      </c>
      <c r="P1635" s="1">
        <v>0</v>
      </c>
      <c r="Q1635" s="1">
        <f t="shared" ref="Q1635:Q1692" si="871">P1635*1400</f>
        <v>0</v>
      </c>
      <c r="R1635" s="1">
        <v>242.3</v>
      </c>
      <c r="S1635" s="1">
        <f t="shared" si="869"/>
        <v>908867.3</v>
      </c>
      <c r="T1635" s="1">
        <v>0</v>
      </c>
      <c r="U1635" s="1">
        <v>50000</v>
      </c>
      <c r="V1635" s="1">
        <v>0</v>
      </c>
      <c r="W1635" s="1">
        <v>0</v>
      </c>
      <c r="X1635" s="1">
        <v>0</v>
      </c>
      <c r="Y1635" s="1">
        <v>0</v>
      </c>
      <c r="Z1635" s="1">
        <v>0</v>
      </c>
      <c r="AA1635" s="1">
        <v>0</v>
      </c>
      <c r="AB1635" s="1">
        <v>0</v>
      </c>
      <c r="AC1635" s="1">
        <v>0</v>
      </c>
      <c r="AD1635" s="1">
        <v>0</v>
      </c>
    </row>
    <row r="1636" spans="1:30" s="20" customFormat="1" ht="36" customHeight="1" x14ac:dyDescent="0.25">
      <c r="A1636" s="2">
        <f t="shared" si="855"/>
        <v>1580</v>
      </c>
      <c r="B1636" s="6">
        <f t="shared" si="862"/>
        <v>1580</v>
      </c>
      <c r="C1636" s="19" t="s">
        <v>923</v>
      </c>
      <c r="D1636" s="4">
        <f t="shared" si="852"/>
        <v>12518895.050000001</v>
      </c>
      <c r="E1636" s="1">
        <f t="shared" si="870"/>
        <v>11560027.75</v>
      </c>
      <c r="F1636" s="1">
        <f>804*2945.23</f>
        <v>2367964.92</v>
      </c>
      <c r="G1636" s="1">
        <f>1693*2945.23</f>
        <v>4986274.3899999997</v>
      </c>
      <c r="H1636" s="1">
        <f>390*2945.23</f>
        <v>1148639.7</v>
      </c>
      <c r="I1636" s="1">
        <f>571*2945.23</f>
        <v>1681726.33</v>
      </c>
      <c r="J1636" s="1">
        <f>467*2945.23</f>
        <v>1375422.41</v>
      </c>
      <c r="K1636" s="1">
        <v>0</v>
      </c>
      <c r="L1636" s="2">
        <v>0</v>
      </c>
      <c r="M1636" s="1">
        <v>0</v>
      </c>
      <c r="N1636" s="1">
        <v>0</v>
      </c>
      <c r="O1636" s="1">
        <v>0</v>
      </c>
      <c r="P1636" s="1">
        <v>0</v>
      </c>
      <c r="Q1636" s="1">
        <f t="shared" si="871"/>
        <v>0</v>
      </c>
      <c r="R1636" s="1">
        <v>242.3</v>
      </c>
      <c r="S1636" s="1">
        <f t="shared" si="869"/>
        <v>908867.3</v>
      </c>
      <c r="T1636" s="1">
        <v>0</v>
      </c>
      <c r="U1636" s="1">
        <v>50000</v>
      </c>
      <c r="V1636" s="1">
        <v>0</v>
      </c>
      <c r="W1636" s="1">
        <v>0</v>
      </c>
      <c r="X1636" s="1">
        <v>0</v>
      </c>
      <c r="Y1636" s="1">
        <v>0</v>
      </c>
      <c r="Z1636" s="1">
        <v>0</v>
      </c>
      <c r="AA1636" s="1">
        <v>0</v>
      </c>
      <c r="AB1636" s="1">
        <v>0</v>
      </c>
      <c r="AC1636" s="1">
        <v>0</v>
      </c>
      <c r="AD1636" s="1">
        <v>0</v>
      </c>
    </row>
    <row r="1637" spans="1:30" s="20" customFormat="1" ht="36" customHeight="1" x14ac:dyDescent="0.25">
      <c r="A1637" s="2">
        <f t="shared" si="855"/>
        <v>1581</v>
      </c>
      <c r="B1637" s="6">
        <f t="shared" si="862"/>
        <v>1581</v>
      </c>
      <c r="C1637" s="19" t="s">
        <v>926</v>
      </c>
      <c r="D1637" s="4">
        <f t="shared" si="852"/>
        <v>20742929.509999998</v>
      </c>
      <c r="E1637" s="1">
        <f t="shared" si="870"/>
        <v>11690529.51</v>
      </c>
      <c r="F1637" s="1">
        <f>804*4681.83</f>
        <v>3764191.32</v>
      </c>
      <c r="G1637" s="1">
        <f>1693*4681.83</f>
        <v>7926338.1899999995</v>
      </c>
      <c r="H1637" s="1">
        <v>0</v>
      </c>
      <c r="I1637" s="1">
        <v>0</v>
      </c>
      <c r="J1637" s="1">
        <v>0</v>
      </c>
      <c r="K1637" s="1">
        <v>0</v>
      </c>
      <c r="L1637" s="2">
        <v>0</v>
      </c>
      <c r="M1637" s="1">
        <v>0</v>
      </c>
      <c r="N1637" s="1">
        <v>0</v>
      </c>
      <c r="O1637" s="1">
        <v>0</v>
      </c>
      <c r="P1637" s="1">
        <v>0</v>
      </c>
      <c r="Q1637" s="1">
        <f t="shared" si="871"/>
        <v>0</v>
      </c>
      <c r="R1637" s="1">
        <v>2400</v>
      </c>
      <c r="S1637" s="1">
        <f t="shared" ref="S1637:S1647" si="872">R1637*3751</f>
        <v>9002400</v>
      </c>
      <c r="T1637" s="1">
        <v>0</v>
      </c>
      <c r="U1637" s="1">
        <v>50000</v>
      </c>
      <c r="V1637" s="1">
        <v>0</v>
      </c>
      <c r="W1637" s="1">
        <v>0</v>
      </c>
      <c r="X1637" s="1">
        <v>0</v>
      </c>
      <c r="Y1637" s="1">
        <v>0</v>
      </c>
      <c r="Z1637" s="1">
        <v>0</v>
      </c>
      <c r="AA1637" s="1">
        <v>0</v>
      </c>
      <c r="AB1637" s="1">
        <v>0</v>
      </c>
      <c r="AC1637" s="1">
        <v>0</v>
      </c>
      <c r="AD1637" s="1">
        <v>0</v>
      </c>
    </row>
    <row r="1638" spans="1:30" s="20" customFormat="1" ht="36" customHeight="1" x14ac:dyDescent="0.25">
      <c r="A1638" s="2">
        <f t="shared" si="855"/>
        <v>1582</v>
      </c>
      <c r="B1638" s="6">
        <f t="shared" si="862"/>
        <v>1582</v>
      </c>
      <c r="C1638" s="19" t="s">
        <v>927</v>
      </c>
      <c r="D1638" s="4">
        <f t="shared" si="852"/>
        <v>27253352.749999996</v>
      </c>
      <c r="E1638" s="1">
        <f t="shared" si="870"/>
        <v>18338502.749999996</v>
      </c>
      <c r="F1638" s="1">
        <f>804*4672.23</f>
        <v>3756472.9199999995</v>
      </c>
      <c r="G1638" s="1">
        <f>1693*4672.23</f>
        <v>7910085.3899999997</v>
      </c>
      <c r="H1638" s="1">
        <f>390*4672.23</f>
        <v>1822169.6999999997</v>
      </c>
      <c r="I1638" s="1">
        <f>571*4672.23</f>
        <v>2667843.3299999996</v>
      </c>
      <c r="J1638" s="1">
        <f>467*4672.23</f>
        <v>2181931.4099999997</v>
      </c>
      <c r="K1638" s="1">
        <v>0</v>
      </c>
      <c r="L1638" s="2">
        <v>0</v>
      </c>
      <c r="M1638" s="1">
        <v>0</v>
      </c>
      <c r="N1638" s="1">
        <v>0</v>
      </c>
      <c r="O1638" s="1">
        <v>0</v>
      </c>
      <c r="P1638" s="1">
        <v>0</v>
      </c>
      <c r="Q1638" s="1">
        <f>P1638*1400</f>
        <v>0</v>
      </c>
      <c r="R1638" s="1">
        <v>2350</v>
      </c>
      <c r="S1638" s="1">
        <f t="shared" si="872"/>
        <v>8814850</v>
      </c>
      <c r="T1638" s="1">
        <v>0</v>
      </c>
      <c r="U1638" s="1">
        <v>50000</v>
      </c>
      <c r="V1638" s="1">
        <v>0</v>
      </c>
      <c r="W1638" s="1">
        <v>50000</v>
      </c>
      <c r="X1638" s="1">
        <v>0</v>
      </c>
      <c r="Y1638" s="1">
        <v>0</v>
      </c>
      <c r="Z1638" s="1">
        <v>0</v>
      </c>
      <c r="AA1638" s="1">
        <v>0</v>
      </c>
      <c r="AB1638" s="1">
        <v>0</v>
      </c>
      <c r="AC1638" s="1">
        <v>0</v>
      </c>
      <c r="AD1638" s="1">
        <v>0</v>
      </c>
    </row>
    <row r="1639" spans="1:30" s="20" customFormat="1" ht="36" customHeight="1" x14ac:dyDescent="0.25">
      <c r="A1639" s="2">
        <f t="shared" si="855"/>
        <v>1583</v>
      </c>
      <c r="B1639" s="6">
        <f t="shared" si="862"/>
        <v>1583</v>
      </c>
      <c r="C1639" s="19" t="s">
        <v>928</v>
      </c>
      <c r="D1639" s="4">
        <f t="shared" si="852"/>
        <v>12982329.75</v>
      </c>
      <c r="E1639" s="1">
        <f t="shared" si="870"/>
        <v>8943779.75</v>
      </c>
      <c r="F1639" s="1">
        <f>804*2278.67</f>
        <v>1832050.6800000002</v>
      </c>
      <c r="G1639" s="1">
        <f>1693*2278.67</f>
        <v>3857788.31</v>
      </c>
      <c r="H1639" s="1">
        <f>390*2278.67</f>
        <v>888681.3</v>
      </c>
      <c r="I1639" s="1">
        <f>571*2278.67</f>
        <v>1301120.57</v>
      </c>
      <c r="J1639" s="1">
        <f>467*2278.67</f>
        <v>1064138.8900000001</v>
      </c>
      <c r="K1639" s="1">
        <v>0</v>
      </c>
      <c r="L1639" s="2">
        <v>0</v>
      </c>
      <c r="M1639" s="1">
        <v>0</v>
      </c>
      <c r="N1639" s="1">
        <v>0</v>
      </c>
      <c r="O1639" s="1">
        <v>0</v>
      </c>
      <c r="P1639" s="1">
        <v>0</v>
      </c>
      <c r="Q1639" s="1">
        <f>P1639*1400</f>
        <v>0</v>
      </c>
      <c r="R1639" s="1">
        <v>1050</v>
      </c>
      <c r="S1639" s="1">
        <f t="shared" si="872"/>
        <v>3938550</v>
      </c>
      <c r="T1639" s="1">
        <v>0</v>
      </c>
      <c r="U1639" s="1">
        <v>50000</v>
      </c>
      <c r="V1639" s="1">
        <v>0</v>
      </c>
      <c r="W1639" s="1">
        <v>50000</v>
      </c>
      <c r="X1639" s="1">
        <v>0</v>
      </c>
      <c r="Y1639" s="1">
        <v>0</v>
      </c>
      <c r="Z1639" s="1">
        <v>0</v>
      </c>
      <c r="AA1639" s="1">
        <v>0</v>
      </c>
      <c r="AB1639" s="1">
        <v>0</v>
      </c>
      <c r="AC1639" s="1">
        <v>0</v>
      </c>
      <c r="AD1639" s="1">
        <v>0</v>
      </c>
    </row>
    <row r="1640" spans="1:30" s="20" customFormat="1" ht="36" customHeight="1" x14ac:dyDescent="0.25">
      <c r="A1640" s="2">
        <f t="shared" si="855"/>
        <v>1584</v>
      </c>
      <c r="B1640" s="6">
        <f t="shared" si="862"/>
        <v>1584</v>
      </c>
      <c r="C1640" s="19" t="s">
        <v>929</v>
      </c>
      <c r="D1640" s="4">
        <f t="shared" si="852"/>
        <v>24716847.25</v>
      </c>
      <c r="E1640" s="1">
        <f t="shared" si="870"/>
        <v>15989547.250000002</v>
      </c>
      <c r="F1640" s="1">
        <f>804*4073.77</f>
        <v>3275311.08</v>
      </c>
      <c r="G1640" s="1">
        <f>1693*4073.77</f>
        <v>6896892.6100000003</v>
      </c>
      <c r="H1640" s="1">
        <f>390*4073.77</f>
        <v>1588770.3</v>
      </c>
      <c r="I1640" s="1">
        <f>571*4073.77</f>
        <v>2326122.67</v>
      </c>
      <c r="J1640" s="1">
        <f>467*4073.77</f>
        <v>1902450.59</v>
      </c>
      <c r="K1640" s="1">
        <v>0</v>
      </c>
      <c r="L1640" s="2">
        <v>0</v>
      </c>
      <c r="M1640" s="1">
        <v>0</v>
      </c>
      <c r="N1640" s="1">
        <v>0</v>
      </c>
      <c r="O1640" s="1">
        <v>0</v>
      </c>
      <c r="P1640" s="1">
        <v>0</v>
      </c>
      <c r="Q1640" s="1">
        <f>P1640*1400</f>
        <v>0</v>
      </c>
      <c r="R1640" s="1">
        <v>2300</v>
      </c>
      <c r="S1640" s="1">
        <f t="shared" si="872"/>
        <v>8627300</v>
      </c>
      <c r="T1640" s="1">
        <v>0</v>
      </c>
      <c r="U1640" s="1">
        <v>50000</v>
      </c>
      <c r="V1640" s="1">
        <v>0</v>
      </c>
      <c r="W1640" s="1">
        <v>50000</v>
      </c>
      <c r="X1640" s="1">
        <v>0</v>
      </c>
      <c r="Y1640" s="1">
        <v>0</v>
      </c>
      <c r="Z1640" s="1">
        <v>0</v>
      </c>
      <c r="AA1640" s="1">
        <v>0</v>
      </c>
      <c r="AB1640" s="1">
        <v>0</v>
      </c>
      <c r="AC1640" s="1">
        <v>0</v>
      </c>
      <c r="AD1640" s="1">
        <v>0</v>
      </c>
    </row>
    <row r="1641" spans="1:30" s="20" customFormat="1" ht="36" customHeight="1" x14ac:dyDescent="0.25">
      <c r="A1641" s="2">
        <f t="shared" si="855"/>
        <v>1585</v>
      </c>
      <c r="B1641" s="6">
        <f>A1641</f>
        <v>1585</v>
      </c>
      <c r="C1641" s="19" t="s">
        <v>1647</v>
      </c>
      <c r="D1641" s="4">
        <f t="shared" si="852"/>
        <v>8321560</v>
      </c>
      <c r="E1641" s="1">
        <f t="shared" si="870"/>
        <v>0</v>
      </c>
      <c r="F1641" s="1">
        <v>0</v>
      </c>
      <c r="G1641" s="1">
        <v>0</v>
      </c>
      <c r="H1641" s="1">
        <v>0</v>
      </c>
      <c r="I1641" s="1">
        <v>0</v>
      </c>
      <c r="J1641" s="1">
        <v>0</v>
      </c>
      <c r="K1641" s="1">
        <v>0</v>
      </c>
      <c r="L1641" s="2">
        <v>0</v>
      </c>
      <c r="M1641" s="1">
        <v>0</v>
      </c>
      <c r="N1641" s="1">
        <v>920</v>
      </c>
      <c r="O1641" s="1">
        <f>N1641*4968</f>
        <v>4570560</v>
      </c>
      <c r="P1641" s="1">
        <v>0</v>
      </c>
      <c r="Q1641" s="1">
        <f t="shared" si="871"/>
        <v>0</v>
      </c>
      <c r="R1641" s="1">
        <v>1000</v>
      </c>
      <c r="S1641" s="1">
        <f t="shared" si="872"/>
        <v>3751000</v>
      </c>
      <c r="T1641" s="1">
        <v>0</v>
      </c>
      <c r="U1641" s="1">
        <v>0</v>
      </c>
      <c r="V1641" s="1">
        <v>0</v>
      </c>
      <c r="W1641" s="1">
        <v>0</v>
      </c>
      <c r="X1641" s="1">
        <v>0</v>
      </c>
      <c r="Y1641" s="1">
        <v>0</v>
      </c>
      <c r="Z1641" s="1">
        <v>0</v>
      </c>
      <c r="AA1641" s="1">
        <v>0</v>
      </c>
      <c r="AB1641" s="1">
        <v>0</v>
      </c>
      <c r="AC1641" s="1">
        <v>0</v>
      </c>
      <c r="AD1641" s="1">
        <v>0</v>
      </c>
    </row>
    <row r="1642" spans="1:30" s="20" customFormat="1" ht="36" customHeight="1" x14ac:dyDescent="0.25">
      <c r="A1642" s="2">
        <f t="shared" si="855"/>
        <v>1586</v>
      </c>
      <c r="B1642" s="6">
        <f t="shared" si="862"/>
        <v>1586</v>
      </c>
      <c r="C1642" s="19" t="s">
        <v>930</v>
      </c>
      <c r="D1642" s="4">
        <f t="shared" si="852"/>
        <v>11876874.799999999</v>
      </c>
      <c r="E1642" s="1">
        <f t="shared" si="870"/>
        <v>11826874.799999999</v>
      </c>
      <c r="F1642" s="1">
        <f>804*3526.2</f>
        <v>2835064.8</v>
      </c>
      <c r="G1642" s="1">
        <f>1693*3526.2</f>
        <v>5969856.5999999996</v>
      </c>
      <c r="H1642" s="1">
        <f>390*3526.2</f>
        <v>1375218</v>
      </c>
      <c r="I1642" s="1">
        <v>0</v>
      </c>
      <c r="J1642" s="1">
        <f>467*3526.2</f>
        <v>1646735.4</v>
      </c>
      <c r="K1642" s="1">
        <v>0</v>
      </c>
      <c r="L1642" s="2">
        <v>0</v>
      </c>
      <c r="M1642" s="1">
        <v>0</v>
      </c>
      <c r="N1642" s="1">
        <v>0</v>
      </c>
      <c r="O1642" s="1">
        <v>0</v>
      </c>
      <c r="P1642" s="1">
        <v>0</v>
      </c>
      <c r="Q1642" s="1">
        <f t="shared" si="871"/>
        <v>0</v>
      </c>
      <c r="R1642" s="1">
        <v>0</v>
      </c>
      <c r="S1642" s="1">
        <f t="shared" si="872"/>
        <v>0</v>
      </c>
      <c r="T1642" s="1">
        <v>0</v>
      </c>
      <c r="U1642" s="1">
        <v>50000</v>
      </c>
      <c r="V1642" s="1">
        <v>0</v>
      </c>
      <c r="W1642" s="1">
        <v>0</v>
      </c>
      <c r="X1642" s="1">
        <v>0</v>
      </c>
      <c r="Y1642" s="1">
        <v>0</v>
      </c>
      <c r="Z1642" s="1">
        <v>0</v>
      </c>
      <c r="AA1642" s="1">
        <v>0</v>
      </c>
      <c r="AB1642" s="1">
        <v>0</v>
      </c>
      <c r="AC1642" s="1">
        <v>0</v>
      </c>
      <c r="AD1642" s="1">
        <v>0</v>
      </c>
    </row>
    <row r="1643" spans="1:30" s="20" customFormat="1" ht="35.25" customHeight="1" x14ac:dyDescent="0.25">
      <c r="A1643" s="2">
        <f t="shared" si="855"/>
        <v>1587</v>
      </c>
      <c r="B1643" s="6">
        <f>A1643</f>
        <v>1587</v>
      </c>
      <c r="C1643" s="19" t="s">
        <v>1867</v>
      </c>
      <c r="D1643" s="8">
        <f t="shared" si="852"/>
        <v>24700000</v>
      </c>
      <c r="E1643" s="1">
        <f>SUM(F1643:K1643)</f>
        <v>0</v>
      </c>
      <c r="F1643" s="1">
        <v>0</v>
      </c>
      <c r="G1643" s="1">
        <v>0</v>
      </c>
      <c r="H1643" s="1">
        <v>0</v>
      </c>
      <c r="I1643" s="1">
        <v>0</v>
      </c>
      <c r="J1643" s="1">
        <v>0</v>
      </c>
      <c r="K1643" s="1">
        <v>0</v>
      </c>
      <c r="L1643" s="2">
        <v>7</v>
      </c>
      <c r="M1643" s="1">
        <f>L1643*3500000</f>
        <v>24500000</v>
      </c>
      <c r="N1643" s="1">
        <v>0</v>
      </c>
      <c r="O1643" s="1">
        <v>0</v>
      </c>
      <c r="P1643" s="1">
        <v>0</v>
      </c>
      <c r="Q1643" s="1">
        <f>1400*P1643</f>
        <v>0</v>
      </c>
      <c r="R1643" s="1">
        <v>0</v>
      </c>
      <c r="S1643" s="1">
        <f>R1643*3751</f>
        <v>0</v>
      </c>
      <c r="T1643" s="1">
        <v>0</v>
      </c>
      <c r="U1643" s="1">
        <v>200000</v>
      </c>
      <c r="V1643" s="1">
        <v>0</v>
      </c>
      <c r="W1643" s="1">
        <v>0</v>
      </c>
      <c r="X1643" s="1">
        <v>0</v>
      </c>
      <c r="Y1643" s="1">
        <v>0</v>
      </c>
      <c r="Z1643" s="1">
        <v>0</v>
      </c>
      <c r="AA1643" s="1">
        <v>0</v>
      </c>
      <c r="AB1643" s="1">
        <v>0</v>
      </c>
      <c r="AC1643" s="1">
        <v>0</v>
      </c>
      <c r="AD1643" s="1">
        <v>0</v>
      </c>
    </row>
    <row r="1644" spans="1:30" s="20" customFormat="1" ht="36" customHeight="1" x14ac:dyDescent="0.25">
      <c r="A1644" s="2">
        <f t="shared" si="855"/>
        <v>1588</v>
      </c>
      <c r="B1644" s="6">
        <f t="shared" si="862"/>
        <v>1588</v>
      </c>
      <c r="C1644" s="30" t="s">
        <v>931</v>
      </c>
      <c r="D1644" s="4">
        <f t="shared" si="852"/>
        <v>11014594.75</v>
      </c>
      <c r="E1644" s="1">
        <f t="shared" si="870"/>
        <v>7726244.75</v>
      </c>
      <c r="F1644" s="1">
        <f>804*1968.47</f>
        <v>1582649.8800000001</v>
      </c>
      <c r="G1644" s="1">
        <f>1693*1968.47</f>
        <v>3332619.71</v>
      </c>
      <c r="H1644" s="1">
        <f>390*1968.47</f>
        <v>767703.3</v>
      </c>
      <c r="I1644" s="1">
        <f>571*1968.47</f>
        <v>1123996.3700000001</v>
      </c>
      <c r="J1644" s="1">
        <f>467*1968.47</f>
        <v>919275.49</v>
      </c>
      <c r="K1644" s="1">
        <v>0</v>
      </c>
      <c r="L1644" s="2">
        <v>0</v>
      </c>
      <c r="M1644" s="1">
        <v>0</v>
      </c>
      <c r="N1644" s="1">
        <v>0</v>
      </c>
      <c r="O1644" s="1">
        <v>0</v>
      </c>
      <c r="P1644" s="1">
        <v>0</v>
      </c>
      <c r="Q1644" s="1">
        <f t="shared" si="871"/>
        <v>0</v>
      </c>
      <c r="R1644" s="1">
        <v>850</v>
      </c>
      <c r="S1644" s="1">
        <f>R1644*3751</f>
        <v>3188350</v>
      </c>
      <c r="T1644" s="1">
        <v>0</v>
      </c>
      <c r="U1644" s="1">
        <v>50000</v>
      </c>
      <c r="V1644" s="1">
        <v>0</v>
      </c>
      <c r="W1644" s="1">
        <v>50000</v>
      </c>
      <c r="X1644" s="1">
        <v>0</v>
      </c>
      <c r="Y1644" s="1">
        <v>0</v>
      </c>
      <c r="Z1644" s="1">
        <v>0</v>
      </c>
      <c r="AA1644" s="1">
        <v>0</v>
      </c>
      <c r="AB1644" s="1">
        <v>0</v>
      </c>
      <c r="AC1644" s="1">
        <v>0</v>
      </c>
      <c r="AD1644" s="1">
        <v>0</v>
      </c>
    </row>
    <row r="1645" spans="1:30" s="20" customFormat="1" ht="36" customHeight="1" x14ac:dyDescent="0.25">
      <c r="A1645" s="2">
        <f t="shared" si="855"/>
        <v>1589</v>
      </c>
      <c r="B1645" s="6">
        <f>A1645</f>
        <v>1589</v>
      </c>
      <c r="C1645" s="30" t="s">
        <v>416</v>
      </c>
      <c r="D1645" s="4">
        <f t="shared" si="852"/>
        <v>6796297.5</v>
      </c>
      <c r="E1645" s="1">
        <f t="shared" si="870"/>
        <v>3370397.5000000005</v>
      </c>
      <c r="F1645" s="1">
        <f>804*858.7</f>
        <v>690394.8</v>
      </c>
      <c r="G1645" s="1">
        <f>1693*858.7</f>
        <v>1453779.1</v>
      </c>
      <c r="H1645" s="1">
        <f>390*858.7</f>
        <v>334893</v>
      </c>
      <c r="I1645" s="1">
        <f>571*858.7</f>
        <v>490317.7</v>
      </c>
      <c r="J1645" s="1">
        <f>467*858.7</f>
        <v>401012.9</v>
      </c>
      <c r="K1645" s="1">
        <v>0</v>
      </c>
      <c r="L1645" s="2">
        <v>0</v>
      </c>
      <c r="M1645" s="1">
        <v>0</v>
      </c>
      <c r="N1645" s="1">
        <v>0</v>
      </c>
      <c r="O1645" s="1">
        <v>0</v>
      </c>
      <c r="P1645" s="1">
        <v>0</v>
      </c>
      <c r="Q1645" s="1">
        <f t="shared" si="871"/>
        <v>0</v>
      </c>
      <c r="R1645" s="1">
        <v>900</v>
      </c>
      <c r="S1645" s="1">
        <f t="shared" si="872"/>
        <v>3375900</v>
      </c>
      <c r="T1645" s="1">
        <v>0</v>
      </c>
      <c r="U1645" s="1">
        <v>50000</v>
      </c>
      <c r="V1645" s="1">
        <v>0</v>
      </c>
      <c r="W1645" s="1">
        <v>0</v>
      </c>
      <c r="X1645" s="1">
        <v>0</v>
      </c>
      <c r="Y1645" s="1">
        <v>0</v>
      </c>
      <c r="Z1645" s="1">
        <v>0</v>
      </c>
      <c r="AA1645" s="1">
        <v>0</v>
      </c>
      <c r="AB1645" s="1">
        <v>0</v>
      </c>
      <c r="AC1645" s="1">
        <v>0</v>
      </c>
      <c r="AD1645" s="1">
        <v>0</v>
      </c>
    </row>
    <row r="1646" spans="1:30" s="20" customFormat="1" ht="36" customHeight="1" x14ac:dyDescent="0.25">
      <c r="A1646" s="2">
        <f t="shared" si="855"/>
        <v>1590</v>
      </c>
      <c r="B1646" s="6">
        <f t="shared" si="862"/>
        <v>1590</v>
      </c>
      <c r="C1646" s="30" t="s">
        <v>932</v>
      </c>
      <c r="D1646" s="4">
        <f t="shared" si="852"/>
        <v>13809567.75</v>
      </c>
      <c r="E1646" s="1">
        <f t="shared" si="870"/>
        <v>7520417.75</v>
      </c>
      <c r="F1646" s="1">
        <f>804*1916.03</f>
        <v>1540488.1199999999</v>
      </c>
      <c r="G1646" s="1">
        <f>1693*1916.03</f>
        <v>3243838.79</v>
      </c>
      <c r="H1646" s="1">
        <f>390*1916.03</f>
        <v>747251.7</v>
      </c>
      <c r="I1646" s="1">
        <f>571*1916.03</f>
        <v>1094053.1299999999</v>
      </c>
      <c r="J1646" s="1">
        <f>467*1916.03</f>
        <v>894786.01</v>
      </c>
      <c r="K1646" s="1">
        <v>0</v>
      </c>
      <c r="L1646" s="2">
        <v>0</v>
      </c>
      <c r="M1646" s="1">
        <v>0</v>
      </c>
      <c r="N1646" s="1">
        <v>0</v>
      </c>
      <c r="O1646" s="1">
        <v>0</v>
      </c>
      <c r="P1646" s="1">
        <v>0</v>
      </c>
      <c r="Q1646" s="1">
        <f>P1646*1400</f>
        <v>0</v>
      </c>
      <c r="R1646" s="1">
        <v>1650</v>
      </c>
      <c r="S1646" s="1">
        <f t="shared" si="872"/>
        <v>6189150</v>
      </c>
      <c r="T1646" s="1">
        <v>0</v>
      </c>
      <c r="U1646" s="1">
        <v>50000</v>
      </c>
      <c r="V1646" s="1">
        <v>0</v>
      </c>
      <c r="W1646" s="1">
        <v>50000</v>
      </c>
      <c r="X1646" s="1">
        <v>0</v>
      </c>
      <c r="Y1646" s="1">
        <v>0</v>
      </c>
      <c r="Z1646" s="1">
        <v>0</v>
      </c>
      <c r="AA1646" s="1">
        <v>0</v>
      </c>
      <c r="AB1646" s="1">
        <v>0</v>
      </c>
      <c r="AC1646" s="1">
        <v>0</v>
      </c>
      <c r="AD1646" s="1">
        <v>0</v>
      </c>
    </row>
    <row r="1647" spans="1:30" s="20" customFormat="1" ht="36" customHeight="1" x14ac:dyDescent="0.25">
      <c r="A1647" s="2">
        <f t="shared" si="855"/>
        <v>1591</v>
      </c>
      <c r="B1647" s="6">
        <f t="shared" si="862"/>
        <v>1591</v>
      </c>
      <c r="C1647" s="19" t="s">
        <v>933</v>
      </c>
      <c r="D1647" s="4">
        <f t="shared" si="852"/>
        <v>15692091</v>
      </c>
      <c r="E1647" s="1">
        <f t="shared" si="870"/>
        <v>8652741</v>
      </c>
      <c r="F1647" s="1">
        <f>804*2204.52</f>
        <v>1772434.08</v>
      </c>
      <c r="G1647" s="1">
        <f>1693*2204.52</f>
        <v>3732252.36</v>
      </c>
      <c r="H1647" s="1">
        <f>390*2204.52</f>
        <v>859762.8</v>
      </c>
      <c r="I1647" s="1">
        <f>571*2204.52</f>
        <v>1258780.92</v>
      </c>
      <c r="J1647" s="1">
        <f>467*2204.52</f>
        <v>1029510.84</v>
      </c>
      <c r="K1647" s="1">
        <v>0</v>
      </c>
      <c r="L1647" s="2">
        <v>0</v>
      </c>
      <c r="M1647" s="1">
        <v>0</v>
      </c>
      <c r="N1647" s="1">
        <v>0</v>
      </c>
      <c r="O1647" s="1">
        <v>0</v>
      </c>
      <c r="P1647" s="1">
        <v>0</v>
      </c>
      <c r="Q1647" s="1">
        <f>P1647*1400</f>
        <v>0</v>
      </c>
      <c r="R1647" s="1">
        <v>1850</v>
      </c>
      <c r="S1647" s="1">
        <f t="shared" si="872"/>
        <v>6939350</v>
      </c>
      <c r="T1647" s="1">
        <v>0</v>
      </c>
      <c r="U1647" s="1">
        <v>50000</v>
      </c>
      <c r="V1647" s="1">
        <v>0</v>
      </c>
      <c r="W1647" s="1">
        <v>50000</v>
      </c>
      <c r="X1647" s="1">
        <v>0</v>
      </c>
      <c r="Y1647" s="1">
        <v>0</v>
      </c>
      <c r="Z1647" s="1">
        <v>0</v>
      </c>
      <c r="AA1647" s="1">
        <v>0</v>
      </c>
      <c r="AB1647" s="1">
        <v>0</v>
      </c>
      <c r="AC1647" s="1">
        <v>0</v>
      </c>
      <c r="AD1647" s="1">
        <v>0</v>
      </c>
    </row>
    <row r="1648" spans="1:30" s="20" customFormat="1" ht="36" customHeight="1" x14ac:dyDescent="0.25">
      <c r="A1648" s="2">
        <f t="shared" si="855"/>
        <v>1592</v>
      </c>
      <c r="B1648" s="6">
        <f t="shared" si="862"/>
        <v>1592</v>
      </c>
      <c r="C1648" s="19" t="s">
        <v>934</v>
      </c>
      <c r="D1648" s="4">
        <f t="shared" si="852"/>
        <v>23695833.25</v>
      </c>
      <c r="E1648" s="1">
        <f t="shared" si="870"/>
        <v>16656483.25</v>
      </c>
      <c r="F1648" s="1">
        <f>804*4243.69</f>
        <v>3411926.76</v>
      </c>
      <c r="G1648" s="1">
        <f>1693*4243.69</f>
        <v>7184567.169999999</v>
      </c>
      <c r="H1648" s="1">
        <f>390*4243.69</f>
        <v>1655039.0999999999</v>
      </c>
      <c r="I1648" s="1">
        <f>571*4243.69</f>
        <v>2423146.9899999998</v>
      </c>
      <c r="J1648" s="1">
        <f>467*4243.69</f>
        <v>1981803.2299999997</v>
      </c>
      <c r="K1648" s="1">
        <v>0</v>
      </c>
      <c r="L1648" s="2">
        <v>0</v>
      </c>
      <c r="M1648" s="1">
        <v>0</v>
      </c>
      <c r="N1648" s="1">
        <v>0</v>
      </c>
      <c r="O1648" s="1">
        <v>0</v>
      </c>
      <c r="P1648" s="1">
        <v>0</v>
      </c>
      <c r="Q1648" s="1">
        <f>P1648*1400</f>
        <v>0</v>
      </c>
      <c r="R1648" s="1">
        <v>1850</v>
      </c>
      <c r="S1648" s="1">
        <f>R1648*3751</f>
        <v>6939350</v>
      </c>
      <c r="T1648" s="1">
        <v>0</v>
      </c>
      <c r="U1648" s="1">
        <v>50000</v>
      </c>
      <c r="V1648" s="1">
        <v>0</v>
      </c>
      <c r="W1648" s="1">
        <v>50000</v>
      </c>
      <c r="X1648" s="1">
        <v>0</v>
      </c>
      <c r="Y1648" s="1">
        <v>0</v>
      </c>
      <c r="Z1648" s="1">
        <v>0</v>
      </c>
      <c r="AA1648" s="1">
        <v>0</v>
      </c>
      <c r="AB1648" s="1">
        <v>0</v>
      </c>
      <c r="AC1648" s="1">
        <v>0</v>
      </c>
      <c r="AD1648" s="1">
        <v>0</v>
      </c>
    </row>
    <row r="1649" spans="1:30" s="20" customFormat="1" ht="36" customHeight="1" x14ac:dyDescent="0.25">
      <c r="A1649" s="2">
        <f t="shared" si="855"/>
        <v>1593</v>
      </c>
      <c r="B1649" s="6">
        <f t="shared" si="862"/>
        <v>1593</v>
      </c>
      <c r="C1649" s="19" t="s">
        <v>935</v>
      </c>
      <c r="D1649" s="4">
        <f t="shared" si="852"/>
        <v>19388562.75</v>
      </c>
      <c r="E1649" s="1">
        <f t="shared" si="870"/>
        <v>13099412.749999998</v>
      </c>
      <c r="F1649" s="1">
        <f>804*3337.43</f>
        <v>2683293.7199999997</v>
      </c>
      <c r="G1649" s="1">
        <f>1693*3337.43</f>
        <v>5650268.9899999993</v>
      </c>
      <c r="H1649" s="1">
        <f>390*3337.43</f>
        <v>1301597.7</v>
      </c>
      <c r="I1649" s="1">
        <f>571*3337.43</f>
        <v>1905672.5299999998</v>
      </c>
      <c r="J1649" s="1">
        <f>467*3337.43</f>
        <v>1558579.8099999998</v>
      </c>
      <c r="K1649" s="1">
        <v>0</v>
      </c>
      <c r="L1649" s="2">
        <v>0</v>
      </c>
      <c r="M1649" s="1">
        <v>0</v>
      </c>
      <c r="N1649" s="1">
        <v>0</v>
      </c>
      <c r="O1649" s="1">
        <v>0</v>
      </c>
      <c r="P1649" s="1">
        <v>0</v>
      </c>
      <c r="Q1649" s="1">
        <f>P1649*1400</f>
        <v>0</v>
      </c>
      <c r="R1649" s="1">
        <v>1650</v>
      </c>
      <c r="S1649" s="1">
        <f>R1649*3751</f>
        <v>6189150</v>
      </c>
      <c r="T1649" s="1">
        <v>0</v>
      </c>
      <c r="U1649" s="1">
        <v>50000</v>
      </c>
      <c r="V1649" s="1">
        <v>0</v>
      </c>
      <c r="W1649" s="1">
        <v>50000</v>
      </c>
      <c r="X1649" s="1">
        <v>0</v>
      </c>
      <c r="Y1649" s="1">
        <v>0</v>
      </c>
      <c r="Z1649" s="1">
        <v>0</v>
      </c>
      <c r="AA1649" s="1">
        <v>0</v>
      </c>
      <c r="AB1649" s="1">
        <v>0</v>
      </c>
      <c r="AC1649" s="1">
        <v>0</v>
      </c>
      <c r="AD1649" s="1">
        <v>0</v>
      </c>
    </row>
    <row r="1650" spans="1:30" s="20" customFormat="1" ht="36" customHeight="1" x14ac:dyDescent="0.25">
      <c r="A1650" s="2">
        <f t="shared" si="855"/>
        <v>1594</v>
      </c>
      <c r="B1650" s="6">
        <f>A1650</f>
        <v>1594</v>
      </c>
      <c r="C1650" s="19" t="s">
        <v>937</v>
      </c>
      <c r="D1650" s="4">
        <f t="shared" si="852"/>
        <v>18888250.899999999</v>
      </c>
      <c r="E1650" s="1">
        <f>SUM(F1650:K1650)</f>
        <v>12649100.9</v>
      </c>
      <c r="F1650" s="1">
        <v>0</v>
      </c>
      <c r="G1650" s="1">
        <f>1693*4052.9</f>
        <v>6861559.7000000002</v>
      </c>
      <c r="H1650" s="1">
        <f>390*4052.9</f>
        <v>1580631</v>
      </c>
      <c r="I1650" s="1">
        <f>571*4052.9</f>
        <v>2314205.9</v>
      </c>
      <c r="J1650" s="1">
        <f>467*4052.9</f>
        <v>1892704.3</v>
      </c>
      <c r="K1650" s="1">
        <v>0</v>
      </c>
      <c r="L1650" s="2">
        <v>0</v>
      </c>
      <c r="M1650" s="1">
        <v>0</v>
      </c>
      <c r="N1650" s="1">
        <v>0</v>
      </c>
      <c r="O1650" s="1">
        <v>0</v>
      </c>
      <c r="P1650" s="1">
        <v>0</v>
      </c>
      <c r="Q1650" s="1">
        <f>P1650*1400</f>
        <v>0</v>
      </c>
      <c r="R1650" s="1">
        <v>1650</v>
      </c>
      <c r="S1650" s="1">
        <f>R1650*3751</f>
        <v>6189150</v>
      </c>
      <c r="T1650" s="1">
        <v>0</v>
      </c>
      <c r="U1650" s="1">
        <v>50000</v>
      </c>
      <c r="V1650" s="1">
        <v>0</v>
      </c>
      <c r="W1650" s="1">
        <v>0</v>
      </c>
      <c r="X1650" s="1">
        <v>0</v>
      </c>
      <c r="Y1650" s="1">
        <v>0</v>
      </c>
      <c r="Z1650" s="1">
        <v>0</v>
      </c>
      <c r="AA1650" s="1">
        <v>0</v>
      </c>
      <c r="AB1650" s="1">
        <v>0</v>
      </c>
      <c r="AC1650" s="1">
        <v>0</v>
      </c>
      <c r="AD1650" s="1">
        <v>0</v>
      </c>
    </row>
    <row r="1651" spans="1:30" s="20" customFormat="1" ht="36" customHeight="1" x14ac:dyDescent="0.25">
      <c r="A1651" s="2">
        <f t="shared" si="855"/>
        <v>1595</v>
      </c>
      <c r="B1651" s="6">
        <f t="shared" si="862"/>
        <v>1595</v>
      </c>
      <c r="C1651" s="19" t="s">
        <v>939</v>
      </c>
      <c r="D1651" s="4">
        <f t="shared" si="852"/>
        <v>22641378.25</v>
      </c>
      <c r="E1651" s="1">
        <f t="shared" si="870"/>
        <v>17289978.25</v>
      </c>
      <c r="F1651" s="1">
        <f>804*4405.09</f>
        <v>3541692.3600000003</v>
      </c>
      <c r="G1651" s="1">
        <f>1693*4405.09</f>
        <v>7457817.3700000001</v>
      </c>
      <c r="H1651" s="1">
        <f>390*4405.09</f>
        <v>1717985.1</v>
      </c>
      <c r="I1651" s="1">
        <f>571*4405.09</f>
        <v>2515306.39</v>
      </c>
      <c r="J1651" s="1">
        <f>467*4405.09</f>
        <v>2057177.03</v>
      </c>
      <c r="K1651" s="1">
        <v>0</v>
      </c>
      <c r="L1651" s="2">
        <v>0</v>
      </c>
      <c r="M1651" s="1">
        <v>0</v>
      </c>
      <c r="N1651" s="1">
        <v>0</v>
      </c>
      <c r="O1651" s="1">
        <v>0</v>
      </c>
      <c r="P1651" s="1">
        <v>0</v>
      </c>
      <c r="Q1651" s="1">
        <f t="shared" ref="Q1651:Q1655" si="873">P1651*1400</f>
        <v>0</v>
      </c>
      <c r="R1651" s="1">
        <v>1400</v>
      </c>
      <c r="S1651" s="1">
        <f t="shared" ref="S1651:S1655" si="874">R1651*3751</f>
        <v>5251400</v>
      </c>
      <c r="T1651" s="1">
        <v>0</v>
      </c>
      <c r="U1651" s="1">
        <v>50000</v>
      </c>
      <c r="V1651" s="1">
        <v>0</v>
      </c>
      <c r="W1651" s="1">
        <v>50000</v>
      </c>
      <c r="X1651" s="1">
        <v>0</v>
      </c>
      <c r="Y1651" s="1">
        <v>0</v>
      </c>
      <c r="Z1651" s="1">
        <v>0</v>
      </c>
      <c r="AA1651" s="1">
        <v>0</v>
      </c>
      <c r="AB1651" s="1">
        <v>0</v>
      </c>
      <c r="AC1651" s="1">
        <v>0</v>
      </c>
      <c r="AD1651" s="1">
        <v>0</v>
      </c>
    </row>
    <row r="1652" spans="1:30" s="20" customFormat="1" ht="36" customHeight="1" x14ac:dyDescent="0.25">
      <c r="A1652" s="2">
        <f t="shared" si="855"/>
        <v>1596</v>
      </c>
      <c r="B1652" s="6">
        <f t="shared" si="862"/>
        <v>1596</v>
      </c>
      <c r="C1652" s="19" t="s">
        <v>940</v>
      </c>
      <c r="D1652" s="4">
        <f t="shared" ref="D1652:D1715" si="875">E1652+M1652+O1652+Q1652+S1652+T1652+U1652+V1652+W1652+X1652+Z1652+AA1652+AB1652+AC1652+AD1652</f>
        <v>24894670.5</v>
      </c>
      <c r="E1652" s="1">
        <f t="shared" si="870"/>
        <v>18605520.5</v>
      </c>
      <c r="F1652" s="1">
        <f>804*4740.26</f>
        <v>3811169.04</v>
      </c>
      <c r="G1652" s="1">
        <f>1693*4740.26</f>
        <v>8025260.1800000006</v>
      </c>
      <c r="H1652" s="1">
        <f>390*4740.26</f>
        <v>1848701.4000000001</v>
      </c>
      <c r="I1652" s="1">
        <f>571*4740.26</f>
        <v>2706688.46</v>
      </c>
      <c r="J1652" s="1">
        <f>467*4740.26</f>
        <v>2213701.42</v>
      </c>
      <c r="K1652" s="1">
        <v>0</v>
      </c>
      <c r="L1652" s="2">
        <v>0</v>
      </c>
      <c r="M1652" s="1">
        <v>0</v>
      </c>
      <c r="N1652" s="1">
        <v>0</v>
      </c>
      <c r="O1652" s="1">
        <v>0</v>
      </c>
      <c r="P1652" s="1">
        <v>0</v>
      </c>
      <c r="Q1652" s="1">
        <f t="shared" si="873"/>
        <v>0</v>
      </c>
      <c r="R1652" s="1">
        <v>1650</v>
      </c>
      <c r="S1652" s="1">
        <f t="shared" si="874"/>
        <v>6189150</v>
      </c>
      <c r="T1652" s="1">
        <v>0</v>
      </c>
      <c r="U1652" s="1">
        <v>50000</v>
      </c>
      <c r="V1652" s="1">
        <v>0</v>
      </c>
      <c r="W1652" s="1">
        <v>50000</v>
      </c>
      <c r="X1652" s="1">
        <v>0</v>
      </c>
      <c r="Y1652" s="1">
        <v>0</v>
      </c>
      <c r="Z1652" s="1">
        <v>0</v>
      </c>
      <c r="AA1652" s="1">
        <v>0</v>
      </c>
      <c r="AB1652" s="1">
        <v>0</v>
      </c>
      <c r="AC1652" s="1">
        <v>0</v>
      </c>
      <c r="AD1652" s="1">
        <v>0</v>
      </c>
    </row>
    <row r="1653" spans="1:30" s="20" customFormat="1" ht="36" customHeight="1" x14ac:dyDescent="0.25">
      <c r="A1653" s="2">
        <f t="shared" si="855"/>
        <v>1597</v>
      </c>
      <c r="B1653" s="6">
        <f t="shared" si="862"/>
        <v>1597</v>
      </c>
      <c r="C1653" s="19" t="s">
        <v>942</v>
      </c>
      <c r="D1653" s="4">
        <f t="shared" si="875"/>
        <v>19380869.75</v>
      </c>
      <c r="E1653" s="1">
        <f t="shared" si="870"/>
        <v>13091719.75</v>
      </c>
      <c r="F1653" s="1">
        <f>804*3335.47</f>
        <v>2681717.88</v>
      </c>
      <c r="G1653" s="1">
        <f>1693*3335.47</f>
        <v>5646950.71</v>
      </c>
      <c r="H1653" s="1">
        <f>390*3335.47</f>
        <v>1300833.2999999998</v>
      </c>
      <c r="I1653" s="1">
        <f>571*3335.47</f>
        <v>1904553.3699999999</v>
      </c>
      <c r="J1653" s="1">
        <f>467*3335.47</f>
        <v>1557664.49</v>
      </c>
      <c r="K1653" s="1">
        <v>0</v>
      </c>
      <c r="L1653" s="2">
        <v>0</v>
      </c>
      <c r="M1653" s="1">
        <v>0</v>
      </c>
      <c r="N1653" s="1">
        <v>0</v>
      </c>
      <c r="O1653" s="1">
        <v>0</v>
      </c>
      <c r="P1653" s="1">
        <v>0</v>
      </c>
      <c r="Q1653" s="1">
        <f t="shared" si="873"/>
        <v>0</v>
      </c>
      <c r="R1653" s="1">
        <v>1650</v>
      </c>
      <c r="S1653" s="1">
        <f t="shared" si="874"/>
        <v>6189150</v>
      </c>
      <c r="T1653" s="1">
        <v>0</v>
      </c>
      <c r="U1653" s="1">
        <v>50000</v>
      </c>
      <c r="V1653" s="1">
        <v>0</v>
      </c>
      <c r="W1653" s="1">
        <v>50000</v>
      </c>
      <c r="X1653" s="1">
        <v>0</v>
      </c>
      <c r="Y1653" s="1">
        <v>0</v>
      </c>
      <c r="Z1653" s="1">
        <v>0</v>
      </c>
      <c r="AA1653" s="1">
        <v>0</v>
      </c>
      <c r="AB1653" s="1">
        <v>0</v>
      </c>
      <c r="AC1653" s="1">
        <v>0</v>
      </c>
      <c r="AD1653" s="1">
        <v>0</v>
      </c>
    </row>
    <row r="1654" spans="1:30" s="20" customFormat="1" ht="36" customHeight="1" x14ac:dyDescent="0.25">
      <c r="A1654" s="2">
        <f t="shared" si="855"/>
        <v>1598</v>
      </c>
      <c r="B1654" s="6">
        <f t="shared" si="862"/>
        <v>1598</v>
      </c>
      <c r="C1654" s="19" t="s">
        <v>943</v>
      </c>
      <c r="D1654" s="4">
        <f t="shared" si="875"/>
        <v>22771548.5</v>
      </c>
      <c r="E1654" s="1">
        <f t="shared" si="870"/>
        <v>15544648.500000002</v>
      </c>
      <c r="F1654" s="1">
        <f>804*3960.42</f>
        <v>3184177.68</v>
      </c>
      <c r="G1654" s="1">
        <f>1693*3960.42</f>
        <v>6704991.0600000005</v>
      </c>
      <c r="H1654" s="1">
        <f>390*3960.42</f>
        <v>1544563.8</v>
      </c>
      <c r="I1654" s="1">
        <f>571*3960.42</f>
        <v>2261399.8199999998</v>
      </c>
      <c r="J1654" s="1">
        <f>467*3960.42</f>
        <v>1849516.1400000001</v>
      </c>
      <c r="K1654" s="1">
        <v>0</v>
      </c>
      <c r="L1654" s="2">
        <v>0</v>
      </c>
      <c r="M1654" s="1">
        <v>0</v>
      </c>
      <c r="N1654" s="1">
        <v>0</v>
      </c>
      <c r="O1654" s="1">
        <v>0</v>
      </c>
      <c r="P1654" s="1">
        <v>0</v>
      </c>
      <c r="Q1654" s="1">
        <f t="shared" si="873"/>
        <v>0</v>
      </c>
      <c r="R1654" s="1">
        <v>1900</v>
      </c>
      <c r="S1654" s="1">
        <f t="shared" si="874"/>
        <v>7126900</v>
      </c>
      <c r="T1654" s="1">
        <v>0</v>
      </c>
      <c r="U1654" s="1">
        <v>50000</v>
      </c>
      <c r="V1654" s="1">
        <v>0</v>
      </c>
      <c r="W1654" s="1">
        <v>50000</v>
      </c>
      <c r="X1654" s="1">
        <v>0</v>
      </c>
      <c r="Y1654" s="1">
        <v>0</v>
      </c>
      <c r="Z1654" s="1">
        <v>0</v>
      </c>
      <c r="AA1654" s="1">
        <v>0</v>
      </c>
      <c r="AB1654" s="1">
        <v>0</v>
      </c>
      <c r="AC1654" s="1">
        <v>0</v>
      </c>
      <c r="AD1654" s="1">
        <v>0</v>
      </c>
    </row>
    <row r="1655" spans="1:30" s="20" customFormat="1" ht="36" customHeight="1" x14ac:dyDescent="0.25">
      <c r="A1655" s="2">
        <f t="shared" si="855"/>
        <v>1599</v>
      </c>
      <c r="B1655" s="6">
        <f t="shared" si="862"/>
        <v>1599</v>
      </c>
      <c r="C1655" s="19" t="s">
        <v>944</v>
      </c>
      <c r="D1655" s="4">
        <f t="shared" si="875"/>
        <v>40843550.5</v>
      </c>
      <c r="E1655" s="1">
        <f t="shared" si="870"/>
        <v>23548822.499999996</v>
      </c>
      <c r="F1655" s="1">
        <f>804*5999.7</f>
        <v>4823758.8</v>
      </c>
      <c r="G1655" s="1">
        <f>1693*5999.7</f>
        <v>10157492.1</v>
      </c>
      <c r="H1655" s="1">
        <f>390*5999.7</f>
        <v>2339883</v>
      </c>
      <c r="I1655" s="1">
        <f>571*5999.7</f>
        <v>3425828.6999999997</v>
      </c>
      <c r="J1655" s="1">
        <f>467*5999.7</f>
        <v>2801859.9</v>
      </c>
      <c r="K1655" s="1">
        <v>0</v>
      </c>
      <c r="L1655" s="2">
        <v>0</v>
      </c>
      <c r="M1655" s="1">
        <v>0</v>
      </c>
      <c r="N1655" s="1">
        <v>1196</v>
      </c>
      <c r="O1655" s="1">
        <f>N1655*4968</f>
        <v>5941728</v>
      </c>
      <c r="P1655" s="1">
        <v>0</v>
      </c>
      <c r="Q1655" s="1">
        <f t="shared" si="873"/>
        <v>0</v>
      </c>
      <c r="R1655" s="1">
        <v>3000</v>
      </c>
      <c r="S1655" s="1">
        <f t="shared" si="874"/>
        <v>11253000</v>
      </c>
      <c r="T1655" s="1">
        <v>0</v>
      </c>
      <c r="U1655" s="1">
        <v>50000</v>
      </c>
      <c r="V1655" s="1">
        <v>0</v>
      </c>
      <c r="W1655" s="1">
        <v>50000</v>
      </c>
      <c r="X1655" s="1">
        <v>0</v>
      </c>
      <c r="Y1655" s="1">
        <v>0</v>
      </c>
      <c r="Z1655" s="1">
        <v>0</v>
      </c>
      <c r="AA1655" s="1">
        <v>0</v>
      </c>
      <c r="AB1655" s="1">
        <v>0</v>
      </c>
      <c r="AC1655" s="1">
        <v>0</v>
      </c>
      <c r="AD1655" s="1">
        <v>0</v>
      </c>
    </row>
    <row r="1656" spans="1:30" s="20" customFormat="1" ht="36" customHeight="1" x14ac:dyDescent="0.25">
      <c r="A1656" s="2">
        <f t="shared" si="855"/>
        <v>1600</v>
      </c>
      <c r="B1656" s="6">
        <f t="shared" si="862"/>
        <v>1600</v>
      </c>
      <c r="C1656" s="19" t="s">
        <v>945</v>
      </c>
      <c r="D1656" s="4">
        <f t="shared" si="875"/>
        <v>19590914.960000001</v>
      </c>
      <c r="E1656" s="1">
        <f t="shared" si="870"/>
        <v>15814914.959999999</v>
      </c>
      <c r="F1656" s="1">
        <f>804*4715.24</f>
        <v>3791052.96</v>
      </c>
      <c r="G1656" s="1">
        <f>1693*4715.24</f>
        <v>7982901.3199999994</v>
      </c>
      <c r="H1656" s="1">
        <f>390*4715.24</f>
        <v>1838943.5999999999</v>
      </c>
      <c r="I1656" s="1">
        <v>0</v>
      </c>
      <c r="J1656" s="1">
        <f>467*4715.24</f>
        <v>2202017.08</v>
      </c>
      <c r="K1656" s="1">
        <v>0</v>
      </c>
      <c r="L1656" s="2">
        <v>0</v>
      </c>
      <c r="M1656" s="1">
        <v>0</v>
      </c>
      <c r="N1656" s="1">
        <v>750</v>
      </c>
      <c r="O1656" s="1">
        <f>N1656*4968</f>
        <v>3726000</v>
      </c>
      <c r="P1656" s="1">
        <v>0</v>
      </c>
      <c r="Q1656" s="1">
        <f t="shared" si="871"/>
        <v>0</v>
      </c>
      <c r="R1656" s="1">
        <v>0</v>
      </c>
      <c r="S1656" s="1">
        <f>R1656*3751</f>
        <v>0</v>
      </c>
      <c r="T1656" s="1">
        <v>0</v>
      </c>
      <c r="U1656" s="1">
        <v>50000</v>
      </c>
      <c r="V1656" s="1">
        <v>0</v>
      </c>
      <c r="W1656" s="1">
        <v>0</v>
      </c>
      <c r="X1656" s="1">
        <v>0</v>
      </c>
      <c r="Y1656" s="1">
        <v>0</v>
      </c>
      <c r="Z1656" s="1">
        <v>0</v>
      </c>
      <c r="AA1656" s="1">
        <v>0</v>
      </c>
      <c r="AB1656" s="1">
        <v>0</v>
      </c>
      <c r="AC1656" s="1">
        <v>0</v>
      </c>
      <c r="AD1656" s="1">
        <v>0</v>
      </c>
    </row>
    <row r="1657" spans="1:30" s="20" customFormat="1" ht="36" customHeight="1" x14ac:dyDescent="0.25">
      <c r="A1657" s="2">
        <f t="shared" si="855"/>
        <v>1601</v>
      </c>
      <c r="B1657" s="6">
        <f t="shared" si="862"/>
        <v>1601</v>
      </c>
      <c r="C1657" s="19" t="s">
        <v>946</v>
      </c>
      <c r="D1657" s="4">
        <f t="shared" si="875"/>
        <v>20476692.299999997</v>
      </c>
      <c r="E1657" s="1">
        <f t="shared" si="870"/>
        <v>10699092.299999999</v>
      </c>
      <c r="F1657" s="1">
        <f>804*3189.95</f>
        <v>2564719.7999999998</v>
      </c>
      <c r="G1657" s="1">
        <f>1693*3189.95</f>
        <v>5400585.3499999996</v>
      </c>
      <c r="H1657" s="1">
        <f>390*3189.95</f>
        <v>1244080.5</v>
      </c>
      <c r="I1657" s="1">
        <v>0</v>
      </c>
      <c r="J1657" s="1">
        <f>467*3189.95</f>
        <v>1489706.65</v>
      </c>
      <c r="K1657" s="1">
        <v>0</v>
      </c>
      <c r="L1657" s="2">
        <v>0</v>
      </c>
      <c r="M1657" s="1">
        <v>0</v>
      </c>
      <c r="N1657" s="1">
        <v>750</v>
      </c>
      <c r="O1657" s="1">
        <f>N1657*4968</f>
        <v>3726000</v>
      </c>
      <c r="P1657" s="1">
        <v>0</v>
      </c>
      <c r="Q1657" s="1">
        <f t="shared" si="871"/>
        <v>0</v>
      </c>
      <c r="R1657" s="1">
        <v>1600</v>
      </c>
      <c r="S1657" s="1">
        <f>R1657*3751</f>
        <v>6001600</v>
      </c>
      <c r="T1657" s="1">
        <v>0</v>
      </c>
      <c r="U1657" s="1">
        <v>50000</v>
      </c>
      <c r="V1657" s="1">
        <v>0</v>
      </c>
      <c r="W1657" s="1">
        <v>0</v>
      </c>
      <c r="X1657" s="1">
        <v>0</v>
      </c>
      <c r="Y1657" s="1">
        <v>0</v>
      </c>
      <c r="Z1657" s="1">
        <v>0</v>
      </c>
      <c r="AA1657" s="1">
        <v>0</v>
      </c>
      <c r="AB1657" s="1">
        <v>0</v>
      </c>
      <c r="AC1657" s="1">
        <v>0</v>
      </c>
      <c r="AD1657" s="1">
        <v>0</v>
      </c>
    </row>
    <row r="1658" spans="1:30" s="20" customFormat="1" ht="36" customHeight="1" x14ac:dyDescent="0.25">
      <c r="A1658" s="2">
        <f t="shared" si="855"/>
        <v>1602</v>
      </c>
      <c r="B1658" s="6">
        <f t="shared" ref="B1658:B1720" si="876">A1658</f>
        <v>1602</v>
      </c>
      <c r="C1658" s="19" t="s">
        <v>948</v>
      </c>
      <c r="D1658" s="4">
        <f t="shared" si="875"/>
        <v>3726000</v>
      </c>
      <c r="E1658" s="1">
        <f t="shared" si="870"/>
        <v>0</v>
      </c>
      <c r="F1658" s="1">
        <v>0</v>
      </c>
      <c r="G1658" s="1">
        <v>0</v>
      </c>
      <c r="H1658" s="1">
        <v>0</v>
      </c>
      <c r="I1658" s="1">
        <v>0</v>
      </c>
      <c r="J1658" s="1">
        <v>0</v>
      </c>
      <c r="K1658" s="1">
        <v>0</v>
      </c>
      <c r="L1658" s="2">
        <v>0</v>
      </c>
      <c r="M1658" s="1">
        <v>0</v>
      </c>
      <c r="N1658" s="1">
        <v>750</v>
      </c>
      <c r="O1658" s="1">
        <f>N1658*4968</f>
        <v>3726000</v>
      </c>
      <c r="P1658" s="1">
        <v>0</v>
      </c>
      <c r="Q1658" s="1">
        <f t="shared" si="871"/>
        <v>0</v>
      </c>
      <c r="R1658" s="1">
        <v>0</v>
      </c>
      <c r="S1658" s="1">
        <f t="shared" ref="S1658:S1660" si="877">R1658*3751</f>
        <v>0</v>
      </c>
      <c r="T1658" s="1">
        <v>0</v>
      </c>
      <c r="U1658" s="1">
        <v>0</v>
      </c>
      <c r="V1658" s="1">
        <v>0</v>
      </c>
      <c r="W1658" s="1">
        <v>0</v>
      </c>
      <c r="X1658" s="1">
        <v>0</v>
      </c>
      <c r="Y1658" s="1">
        <v>0</v>
      </c>
      <c r="Z1658" s="1">
        <v>0</v>
      </c>
      <c r="AA1658" s="1">
        <v>0</v>
      </c>
      <c r="AB1658" s="1">
        <v>0</v>
      </c>
      <c r="AC1658" s="1">
        <v>0</v>
      </c>
      <c r="AD1658" s="1">
        <v>0</v>
      </c>
    </row>
    <row r="1659" spans="1:30" s="20" customFormat="1" ht="36" customHeight="1" x14ac:dyDescent="0.25">
      <c r="A1659" s="2">
        <f t="shared" si="855"/>
        <v>1603</v>
      </c>
      <c r="B1659" s="2">
        <f t="shared" si="876"/>
        <v>1603</v>
      </c>
      <c r="C1659" s="19" t="s">
        <v>949</v>
      </c>
      <c r="D1659" s="39">
        <f t="shared" si="875"/>
        <v>22658301.600000001</v>
      </c>
      <c r="E1659" s="1">
        <f t="shared" si="870"/>
        <v>12880701.600000001</v>
      </c>
      <c r="F1659" s="1">
        <f>804*3840.4</f>
        <v>3087681.6</v>
      </c>
      <c r="G1659" s="1">
        <f>1693*3840.4</f>
        <v>6501797.2000000002</v>
      </c>
      <c r="H1659" s="1">
        <f>390*3840.4</f>
        <v>1497756</v>
      </c>
      <c r="I1659" s="1">
        <v>0</v>
      </c>
      <c r="J1659" s="1">
        <f>467*3840.4</f>
        <v>1793466.8</v>
      </c>
      <c r="K1659" s="1">
        <v>0</v>
      </c>
      <c r="L1659" s="2">
        <v>0</v>
      </c>
      <c r="M1659" s="1">
        <v>0</v>
      </c>
      <c r="N1659" s="1">
        <v>750</v>
      </c>
      <c r="O1659" s="1">
        <f>N1659*4968</f>
        <v>3726000</v>
      </c>
      <c r="P1659" s="1">
        <v>0</v>
      </c>
      <c r="Q1659" s="1">
        <f t="shared" si="871"/>
        <v>0</v>
      </c>
      <c r="R1659" s="1">
        <v>1600</v>
      </c>
      <c r="S1659" s="1">
        <f t="shared" si="877"/>
        <v>6001600</v>
      </c>
      <c r="T1659" s="1">
        <v>0</v>
      </c>
      <c r="U1659" s="1">
        <v>50000</v>
      </c>
      <c r="V1659" s="1">
        <v>0</v>
      </c>
      <c r="W1659" s="1">
        <v>0</v>
      </c>
      <c r="X1659" s="1">
        <v>0</v>
      </c>
      <c r="Y1659" s="1">
        <v>0</v>
      </c>
      <c r="Z1659" s="1">
        <v>0</v>
      </c>
      <c r="AA1659" s="1">
        <v>0</v>
      </c>
      <c r="AB1659" s="1">
        <v>0</v>
      </c>
      <c r="AC1659" s="1">
        <v>0</v>
      </c>
      <c r="AD1659" s="1">
        <v>0</v>
      </c>
    </row>
    <row r="1660" spans="1:30" s="20" customFormat="1" ht="36" customHeight="1" x14ac:dyDescent="0.25">
      <c r="A1660" s="2">
        <f t="shared" ref="A1660:A1722" si="878">ROW()-ROW($A$11)-45</f>
        <v>1604</v>
      </c>
      <c r="B1660" s="2">
        <f t="shared" si="876"/>
        <v>1604</v>
      </c>
      <c r="C1660" s="30" t="s">
        <v>1833</v>
      </c>
      <c r="D1660" s="39">
        <f t="shared" si="875"/>
        <v>4313650</v>
      </c>
      <c r="E1660" s="1">
        <f t="shared" si="870"/>
        <v>0</v>
      </c>
      <c r="F1660" s="1">
        <v>0</v>
      </c>
      <c r="G1660" s="1">
        <v>0</v>
      </c>
      <c r="H1660" s="1">
        <v>0</v>
      </c>
      <c r="I1660" s="1">
        <v>0</v>
      </c>
      <c r="J1660" s="1">
        <v>0</v>
      </c>
      <c r="K1660" s="1">
        <v>0</v>
      </c>
      <c r="L1660" s="2">
        <v>0</v>
      </c>
      <c r="M1660" s="1">
        <v>0</v>
      </c>
      <c r="N1660" s="1">
        <v>0</v>
      </c>
      <c r="O1660" s="1">
        <v>0</v>
      </c>
      <c r="P1660" s="1">
        <v>0</v>
      </c>
      <c r="Q1660" s="1">
        <f t="shared" si="871"/>
        <v>0</v>
      </c>
      <c r="R1660" s="1">
        <v>1150</v>
      </c>
      <c r="S1660" s="1">
        <f t="shared" si="877"/>
        <v>4313650</v>
      </c>
      <c r="T1660" s="1">
        <v>0</v>
      </c>
      <c r="U1660" s="1">
        <v>0</v>
      </c>
      <c r="V1660" s="1">
        <v>0</v>
      </c>
      <c r="W1660" s="1">
        <v>0</v>
      </c>
      <c r="X1660" s="1">
        <v>0</v>
      </c>
      <c r="Y1660" s="1">
        <v>0</v>
      </c>
      <c r="Z1660" s="1">
        <v>0</v>
      </c>
      <c r="AA1660" s="1">
        <v>0</v>
      </c>
      <c r="AB1660" s="1">
        <v>0</v>
      </c>
      <c r="AC1660" s="1">
        <v>0</v>
      </c>
      <c r="AD1660" s="1">
        <v>0</v>
      </c>
    </row>
    <row r="1661" spans="1:30" s="20" customFormat="1" ht="36" customHeight="1" x14ac:dyDescent="0.25">
      <c r="A1661" s="2">
        <f t="shared" si="878"/>
        <v>1605</v>
      </c>
      <c r="B1661" s="6">
        <f t="shared" si="876"/>
        <v>1605</v>
      </c>
      <c r="C1661" s="30" t="s">
        <v>1835</v>
      </c>
      <c r="D1661" s="4">
        <f t="shared" si="875"/>
        <v>11214313.5</v>
      </c>
      <c r="E1661" s="1">
        <f t="shared" si="870"/>
        <v>7175763.5</v>
      </c>
      <c r="F1661" s="1">
        <f>804*1828.22</f>
        <v>1469888.8800000001</v>
      </c>
      <c r="G1661" s="1">
        <f>1693*1828.22</f>
        <v>3095176.46</v>
      </c>
      <c r="H1661" s="1">
        <f>390*1828.22</f>
        <v>713005.8</v>
      </c>
      <c r="I1661" s="1">
        <f>571*1828.22</f>
        <v>1043913.62</v>
      </c>
      <c r="J1661" s="1">
        <f>467*1828.22</f>
        <v>853778.74</v>
      </c>
      <c r="K1661" s="1">
        <v>0</v>
      </c>
      <c r="L1661" s="2">
        <v>0</v>
      </c>
      <c r="M1661" s="1">
        <v>0</v>
      </c>
      <c r="N1661" s="1">
        <v>0</v>
      </c>
      <c r="O1661" s="1">
        <v>0</v>
      </c>
      <c r="P1661" s="1">
        <v>0</v>
      </c>
      <c r="Q1661" s="1">
        <f t="shared" si="871"/>
        <v>0</v>
      </c>
      <c r="R1661" s="1">
        <v>1050</v>
      </c>
      <c r="S1661" s="1">
        <f t="shared" ref="S1661:S1672" si="879">R1661*3751</f>
        <v>3938550</v>
      </c>
      <c r="T1661" s="1">
        <v>0</v>
      </c>
      <c r="U1661" s="1">
        <v>50000</v>
      </c>
      <c r="V1661" s="1">
        <v>0</v>
      </c>
      <c r="W1661" s="1">
        <v>50000</v>
      </c>
      <c r="X1661" s="1">
        <v>0</v>
      </c>
      <c r="Y1661" s="1">
        <v>0</v>
      </c>
      <c r="Z1661" s="1">
        <v>0</v>
      </c>
      <c r="AA1661" s="1">
        <v>0</v>
      </c>
      <c r="AB1661" s="1">
        <v>0</v>
      </c>
      <c r="AC1661" s="1">
        <v>0</v>
      </c>
      <c r="AD1661" s="1">
        <v>0</v>
      </c>
    </row>
    <row r="1662" spans="1:30" s="20" customFormat="1" ht="36" customHeight="1" x14ac:dyDescent="0.25">
      <c r="A1662" s="2">
        <f t="shared" si="878"/>
        <v>1606</v>
      </c>
      <c r="B1662" s="6">
        <f t="shared" si="876"/>
        <v>1606</v>
      </c>
      <c r="C1662" s="30" t="s">
        <v>1836</v>
      </c>
      <c r="D1662" s="4">
        <f t="shared" si="875"/>
        <v>13617120.000000002</v>
      </c>
      <c r="E1662" s="1">
        <f t="shared" si="870"/>
        <v>9578570.0000000019</v>
      </c>
      <c r="F1662" s="1">
        <f>804*2440.4</f>
        <v>1962081.6</v>
      </c>
      <c r="G1662" s="1">
        <f>1693*2440.4</f>
        <v>4131597.2</v>
      </c>
      <c r="H1662" s="1">
        <f>390*2440.4</f>
        <v>951756</v>
      </c>
      <c r="I1662" s="1">
        <f>571*2440.4</f>
        <v>1393468.4000000001</v>
      </c>
      <c r="J1662" s="1">
        <f>467*2440.4</f>
        <v>1139666.8</v>
      </c>
      <c r="K1662" s="1">
        <v>0</v>
      </c>
      <c r="L1662" s="2">
        <v>0</v>
      </c>
      <c r="M1662" s="1">
        <v>0</v>
      </c>
      <c r="N1662" s="1">
        <v>0</v>
      </c>
      <c r="O1662" s="1">
        <v>0</v>
      </c>
      <c r="P1662" s="1">
        <v>0</v>
      </c>
      <c r="Q1662" s="1">
        <f t="shared" si="871"/>
        <v>0</v>
      </c>
      <c r="R1662" s="1">
        <v>1050</v>
      </c>
      <c r="S1662" s="1">
        <f t="shared" si="879"/>
        <v>3938550</v>
      </c>
      <c r="T1662" s="1">
        <v>0</v>
      </c>
      <c r="U1662" s="1">
        <v>50000</v>
      </c>
      <c r="V1662" s="1">
        <v>0</v>
      </c>
      <c r="W1662" s="1">
        <v>50000</v>
      </c>
      <c r="X1662" s="1">
        <v>0</v>
      </c>
      <c r="Y1662" s="1">
        <v>0</v>
      </c>
      <c r="Z1662" s="1">
        <v>0</v>
      </c>
      <c r="AA1662" s="1">
        <v>0</v>
      </c>
      <c r="AB1662" s="1">
        <v>0</v>
      </c>
      <c r="AC1662" s="1">
        <v>0</v>
      </c>
      <c r="AD1662" s="1">
        <v>0</v>
      </c>
    </row>
    <row r="1663" spans="1:30" s="20" customFormat="1" ht="36" customHeight="1" x14ac:dyDescent="0.25">
      <c r="A1663" s="2">
        <f t="shared" si="878"/>
        <v>1607</v>
      </c>
      <c r="B1663" s="6">
        <f t="shared" si="876"/>
        <v>1607</v>
      </c>
      <c r="C1663" s="30" t="s">
        <v>1837</v>
      </c>
      <c r="D1663" s="4">
        <f t="shared" si="875"/>
        <v>9835304</v>
      </c>
      <c r="E1663" s="1">
        <f t="shared" si="870"/>
        <v>5796754.0000000009</v>
      </c>
      <c r="F1663" s="1">
        <f>804*1476.88</f>
        <v>1187411.52</v>
      </c>
      <c r="G1663" s="1">
        <f>1693*1476.88</f>
        <v>2500357.8400000003</v>
      </c>
      <c r="H1663" s="1">
        <f>390*1476.88</f>
        <v>575983.20000000007</v>
      </c>
      <c r="I1663" s="1">
        <f>571*1476.88</f>
        <v>843298.4800000001</v>
      </c>
      <c r="J1663" s="1">
        <f>467*1476.88</f>
        <v>689702.96000000008</v>
      </c>
      <c r="K1663" s="1">
        <v>0</v>
      </c>
      <c r="L1663" s="2">
        <v>0</v>
      </c>
      <c r="M1663" s="1">
        <v>0</v>
      </c>
      <c r="N1663" s="1">
        <v>0</v>
      </c>
      <c r="O1663" s="1">
        <v>0</v>
      </c>
      <c r="P1663" s="1">
        <v>0</v>
      </c>
      <c r="Q1663" s="1">
        <f t="shared" si="871"/>
        <v>0</v>
      </c>
      <c r="R1663" s="1">
        <v>1050</v>
      </c>
      <c r="S1663" s="1">
        <f t="shared" si="879"/>
        <v>3938550</v>
      </c>
      <c r="T1663" s="1">
        <v>0</v>
      </c>
      <c r="U1663" s="1">
        <v>50000</v>
      </c>
      <c r="V1663" s="1">
        <v>0</v>
      </c>
      <c r="W1663" s="1">
        <v>50000</v>
      </c>
      <c r="X1663" s="1">
        <v>0</v>
      </c>
      <c r="Y1663" s="1">
        <v>0</v>
      </c>
      <c r="Z1663" s="1">
        <v>0</v>
      </c>
      <c r="AA1663" s="1">
        <v>0</v>
      </c>
      <c r="AB1663" s="1">
        <v>0</v>
      </c>
      <c r="AC1663" s="1">
        <v>0</v>
      </c>
      <c r="AD1663" s="1">
        <v>0</v>
      </c>
    </row>
    <row r="1664" spans="1:30" s="20" customFormat="1" ht="36" customHeight="1" x14ac:dyDescent="0.25">
      <c r="A1664" s="2">
        <f t="shared" si="878"/>
        <v>1608</v>
      </c>
      <c r="B1664" s="6">
        <f t="shared" si="876"/>
        <v>1608</v>
      </c>
      <c r="C1664" s="30" t="s">
        <v>1838</v>
      </c>
      <c r="D1664" s="4">
        <f t="shared" si="875"/>
        <v>10146360.25</v>
      </c>
      <c r="E1664" s="1">
        <f t="shared" si="870"/>
        <v>6107810.2500000009</v>
      </c>
      <c r="F1664" s="1">
        <f>804*1556.13</f>
        <v>1251128.52</v>
      </c>
      <c r="G1664" s="1">
        <f>1693*1556.13</f>
        <v>2634528.0900000003</v>
      </c>
      <c r="H1664" s="1">
        <f>390*1556.13</f>
        <v>606890.70000000007</v>
      </c>
      <c r="I1664" s="1">
        <f>571*1556.13</f>
        <v>888550.2300000001</v>
      </c>
      <c r="J1664" s="1">
        <f>467*1556.13</f>
        <v>726712.71000000008</v>
      </c>
      <c r="K1664" s="1">
        <v>0</v>
      </c>
      <c r="L1664" s="2">
        <v>0</v>
      </c>
      <c r="M1664" s="1">
        <v>0</v>
      </c>
      <c r="N1664" s="1">
        <v>0</v>
      </c>
      <c r="O1664" s="1">
        <v>0</v>
      </c>
      <c r="P1664" s="1">
        <v>0</v>
      </c>
      <c r="Q1664" s="1">
        <f t="shared" si="871"/>
        <v>0</v>
      </c>
      <c r="R1664" s="1">
        <v>1050</v>
      </c>
      <c r="S1664" s="1">
        <f t="shared" si="879"/>
        <v>3938550</v>
      </c>
      <c r="T1664" s="1">
        <v>0</v>
      </c>
      <c r="U1664" s="1">
        <v>50000</v>
      </c>
      <c r="V1664" s="1">
        <v>0</v>
      </c>
      <c r="W1664" s="1">
        <v>50000</v>
      </c>
      <c r="X1664" s="1">
        <v>0</v>
      </c>
      <c r="Y1664" s="1">
        <v>0</v>
      </c>
      <c r="Z1664" s="1">
        <v>0</v>
      </c>
      <c r="AA1664" s="1">
        <v>0</v>
      </c>
      <c r="AB1664" s="1">
        <v>0</v>
      </c>
      <c r="AC1664" s="1">
        <v>0</v>
      </c>
      <c r="AD1664" s="1">
        <v>0</v>
      </c>
    </row>
    <row r="1665" spans="1:30" s="20" customFormat="1" ht="35.25" customHeight="1" x14ac:dyDescent="0.25">
      <c r="A1665" s="2">
        <f t="shared" si="878"/>
        <v>1609</v>
      </c>
      <c r="B1665" s="6">
        <f>A1665</f>
        <v>1609</v>
      </c>
      <c r="C1665" s="19" t="s">
        <v>1869</v>
      </c>
      <c r="D1665" s="8">
        <f t="shared" si="875"/>
        <v>10700000</v>
      </c>
      <c r="E1665" s="1">
        <f>SUM(F1665:K1665)</f>
        <v>0</v>
      </c>
      <c r="F1665" s="1">
        <v>0</v>
      </c>
      <c r="G1665" s="1">
        <v>0</v>
      </c>
      <c r="H1665" s="1">
        <v>0</v>
      </c>
      <c r="I1665" s="1">
        <v>0</v>
      </c>
      <c r="J1665" s="1">
        <v>0</v>
      </c>
      <c r="K1665" s="1">
        <v>0</v>
      </c>
      <c r="L1665" s="2">
        <v>3</v>
      </c>
      <c r="M1665" s="1">
        <f>L1665*3500000</f>
        <v>10500000</v>
      </c>
      <c r="N1665" s="1">
        <v>0</v>
      </c>
      <c r="O1665" s="1">
        <v>0</v>
      </c>
      <c r="P1665" s="1">
        <v>0</v>
      </c>
      <c r="Q1665" s="1">
        <f>1400*P1665</f>
        <v>0</v>
      </c>
      <c r="R1665" s="1">
        <v>0</v>
      </c>
      <c r="S1665" s="1">
        <f>R1665*3751</f>
        <v>0</v>
      </c>
      <c r="T1665" s="1">
        <v>0</v>
      </c>
      <c r="U1665" s="1">
        <v>200000</v>
      </c>
      <c r="V1665" s="1">
        <v>0</v>
      </c>
      <c r="W1665" s="1">
        <v>0</v>
      </c>
      <c r="X1665" s="1">
        <v>0</v>
      </c>
      <c r="Y1665" s="1">
        <v>0</v>
      </c>
      <c r="Z1665" s="1">
        <v>0</v>
      </c>
      <c r="AA1665" s="1">
        <v>0</v>
      </c>
      <c r="AB1665" s="1">
        <v>0</v>
      </c>
      <c r="AC1665" s="1">
        <v>0</v>
      </c>
      <c r="AD1665" s="1">
        <v>0</v>
      </c>
    </row>
    <row r="1666" spans="1:30" s="20" customFormat="1" ht="35.25" customHeight="1" x14ac:dyDescent="0.25">
      <c r="A1666" s="2">
        <f t="shared" si="878"/>
        <v>1610</v>
      </c>
      <c r="B1666" s="6">
        <f>A1666</f>
        <v>1610</v>
      </c>
      <c r="C1666" s="19" t="s">
        <v>1871</v>
      </c>
      <c r="D1666" s="8">
        <f t="shared" si="875"/>
        <v>7200000</v>
      </c>
      <c r="E1666" s="1">
        <f>SUM(F1666:K1666)</f>
        <v>0</v>
      </c>
      <c r="F1666" s="1">
        <v>0</v>
      </c>
      <c r="G1666" s="1">
        <v>0</v>
      </c>
      <c r="H1666" s="1">
        <v>0</v>
      </c>
      <c r="I1666" s="1">
        <v>0</v>
      </c>
      <c r="J1666" s="1">
        <v>0</v>
      </c>
      <c r="K1666" s="1">
        <v>0</v>
      </c>
      <c r="L1666" s="2">
        <v>2</v>
      </c>
      <c r="M1666" s="1">
        <f>L1666*3500000</f>
        <v>7000000</v>
      </c>
      <c r="N1666" s="1">
        <v>0</v>
      </c>
      <c r="O1666" s="1">
        <v>0</v>
      </c>
      <c r="P1666" s="1">
        <v>0</v>
      </c>
      <c r="Q1666" s="1">
        <f>1400*P1666</f>
        <v>0</v>
      </c>
      <c r="R1666" s="1">
        <v>0</v>
      </c>
      <c r="S1666" s="1">
        <f>R1666*3751</f>
        <v>0</v>
      </c>
      <c r="T1666" s="1">
        <v>0</v>
      </c>
      <c r="U1666" s="1">
        <v>200000</v>
      </c>
      <c r="V1666" s="1">
        <v>0</v>
      </c>
      <c r="W1666" s="1">
        <v>0</v>
      </c>
      <c r="X1666" s="1">
        <v>0</v>
      </c>
      <c r="Y1666" s="1">
        <v>0</v>
      </c>
      <c r="Z1666" s="1">
        <v>0</v>
      </c>
      <c r="AA1666" s="1">
        <v>0</v>
      </c>
      <c r="AB1666" s="1">
        <v>0</v>
      </c>
      <c r="AC1666" s="1">
        <v>0</v>
      </c>
      <c r="AD1666" s="1">
        <v>0</v>
      </c>
    </row>
    <row r="1667" spans="1:30" s="20" customFormat="1" ht="35.25" customHeight="1" x14ac:dyDescent="0.25">
      <c r="A1667" s="2">
        <f t="shared" si="878"/>
        <v>1611</v>
      </c>
      <c r="B1667" s="6">
        <f>A1667</f>
        <v>1611</v>
      </c>
      <c r="C1667" s="19" t="s">
        <v>1872</v>
      </c>
      <c r="D1667" s="8">
        <f t="shared" si="875"/>
        <v>7200000</v>
      </c>
      <c r="E1667" s="1">
        <f>SUM(F1667:K1667)</f>
        <v>0</v>
      </c>
      <c r="F1667" s="1">
        <v>0</v>
      </c>
      <c r="G1667" s="1">
        <v>0</v>
      </c>
      <c r="H1667" s="1">
        <v>0</v>
      </c>
      <c r="I1667" s="1">
        <v>0</v>
      </c>
      <c r="J1667" s="1">
        <v>0</v>
      </c>
      <c r="K1667" s="1">
        <v>0</v>
      </c>
      <c r="L1667" s="2">
        <v>2</v>
      </c>
      <c r="M1667" s="1">
        <f>L1667*3500000</f>
        <v>7000000</v>
      </c>
      <c r="N1667" s="1">
        <v>0</v>
      </c>
      <c r="O1667" s="1">
        <v>0</v>
      </c>
      <c r="P1667" s="1">
        <v>0</v>
      </c>
      <c r="Q1667" s="1">
        <f>1400*P1667</f>
        <v>0</v>
      </c>
      <c r="R1667" s="1">
        <v>0</v>
      </c>
      <c r="S1667" s="1">
        <f>R1667*3751</f>
        <v>0</v>
      </c>
      <c r="T1667" s="1">
        <v>0</v>
      </c>
      <c r="U1667" s="1">
        <v>200000</v>
      </c>
      <c r="V1667" s="1">
        <v>0</v>
      </c>
      <c r="W1667" s="1">
        <v>0</v>
      </c>
      <c r="X1667" s="1">
        <v>0</v>
      </c>
      <c r="Y1667" s="1">
        <v>0</v>
      </c>
      <c r="Z1667" s="1">
        <v>0</v>
      </c>
      <c r="AA1667" s="1">
        <v>0</v>
      </c>
      <c r="AB1667" s="1">
        <v>0</v>
      </c>
      <c r="AC1667" s="1">
        <v>0</v>
      </c>
      <c r="AD1667" s="1">
        <v>0</v>
      </c>
    </row>
    <row r="1668" spans="1:30" s="20" customFormat="1" ht="35.25" customHeight="1" x14ac:dyDescent="0.25">
      <c r="A1668" s="2">
        <f t="shared" si="878"/>
        <v>1612</v>
      </c>
      <c r="B1668" s="6">
        <f>A1668</f>
        <v>1612</v>
      </c>
      <c r="C1668" s="19" t="s">
        <v>1870</v>
      </c>
      <c r="D1668" s="8">
        <f t="shared" si="875"/>
        <v>10700000</v>
      </c>
      <c r="E1668" s="1">
        <f>SUM(F1668:K1668)</f>
        <v>0</v>
      </c>
      <c r="F1668" s="1">
        <v>0</v>
      </c>
      <c r="G1668" s="1">
        <v>0</v>
      </c>
      <c r="H1668" s="1">
        <v>0</v>
      </c>
      <c r="I1668" s="1">
        <v>0</v>
      </c>
      <c r="J1668" s="1">
        <v>0</v>
      </c>
      <c r="K1668" s="1">
        <v>0</v>
      </c>
      <c r="L1668" s="2">
        <v>3</v>
      </c>
      <c r="M1668" s="1">
        <f>L1668*3500000</f>
        <v>10500000</v>
      </c>
      <c r="N1668" s="1">
        <v>0</v>
      </c>
      <c r="O1668" s="1">
        <v>0</v>
      </c>
      <c r="P1668" s="1">
        <v>0</v>
      </c>
      <c r="Q1668" s="1">
        <f>1400*P1668</f>
        <v>0</v>
      </c>
      <c r="R1668" s="1">
        <v>0</v>
      </c>
      <c r="S1668" s="1">
        <f>R1668*3751</f>
        <v>0</v>
      </c>
      <c r="T1668" s="1">
        <v>0</v>
      </c>
      <c r="U1668" s="1">
        <v>200000</v>
      </c>
      <c r="V1668" s="1">
        <v>0</v>
      </c>
      <c r="W1668" s="1">
        <v>0</v>
      </c>
      <c r="X1668" s="1">
        <v>0</v>
      </c>
      <c r="Y1668" s="1">
        <v>0</v>
      </c>
      <c r="Z1668" s="1">
        <v>0</v>
      </c>
      <c r="AA1668" s="1">
        <v>0</v>
      </c>
      <c r="AB1668" s="1">
        <v>0</v>
      </c>
      <c r="AC1668" s="1">
        <v>0</v>
      </c>
      <c r="AD1668" s="1">
        <v>0</v>
      </c>
    </row>
    <row r="1669" spans="1:30" s="20" customFormat="1" ht="35.25" customHeight="1" x14ac:dyDescent="0.25">
      <c r="A1669" s="2">
        <f t="shared" si="878"/>
        <v>1613</v>
      </c>
      <c r="B1669" s="6">
        <f>A1669</f>
        <v>1613</v>
      </c>
      <c r="C1669" s="19" t="s">
        <v>2236</v>
      </c>
      <c r="D1669" s="8">
        <f t="shared" si="875"/>
        <v>5961600</v>
      </c>
      <c r="E1669" s="1">
        <f>SUM(F1669:K1669)</f>
        <v>0</v>
      </c>
      <c r="F1669" s="1">
        <v>0</v>
      </c>
      <c r="G1669" s="1">
        <v>0</v>
      </c>
      <c r="H1669" s="1">
        <v>0</v>
      </c>
      <c r="I1669" s="1">
        <v>0</v>
      </c>
      <c r="J1669" s="1">
        <v>0</v>
      </c>
      <c r="K1669" s="1">
        <v>0</v>
      </c>
      <c r="L1669" s="2">
        <v>0</v>
      </c>
      <c r="M1669" s="1">
        <f>L1669*3500000</f>
        <v>0</v>
      </c>
      <c r="N1669" s="1">
        <v>1200</v>
      </c>
      <c r="O1669" s="1">
        <f>N1669*4968</f>
        <v>5961600</v>
      </c>
      <c r="P1669" s="1">
        <v>0</v>
      </c>
      <c r="Q1669" s="1">
        <f>1400*P1669</f>
        <v>0</v>
      </c>
      <c r="R1669" s="1">
        <v>0</v>
      </c>
      <c r="S1669" s="1">
        <f>R1669*3751</f>
        <v>0</v>
      </c>
      <c r="T1669" s="1">
        <v>0</v>
      </c>
      <c r="U1669" s="1">
        <v>0</v>
      </c>
      <c r="V1669" s="1">
        <v>0</v>
      </c>
      <c r="W1669" s="1">
        <v>0</v>
      </c>
      <c r="X1669" s="1">
        <v>0</v>
      </c>
      <c r="Y1669" s="1">
        <v>0</v>
      </c>
      <c r="Z1669" s="1">
        <v>0</v>
      </c>
      <c r="AA1669" s="1">
        <v>0</v>
      </c>
      <c r="AB1669" s="1">
        <v>0</v>
      </c>
      <c r="AC1669" s="1">
        <v>0</v>
      </c>
      <c r="AD1669" s="1">
        <v>0</v>
      </c>
    </row>
    <row r="1670" spans="1:30" s="20" customFormat="1" ht="36" customHeight="1" x14ac:dyDescent="0.25">
      <c r="A1670" s="2">
        <f t="shared" si="878"/>
        <v>1614</v>
      </c>
      <c r="B1670" s="6">
        <f t="shared" si="876"/>
        <v>1614</v>
      </c>
      <c r="C1670" s="19" t="s">
        <v>952</v>
      </c>
      <c r="D1670" s="4">
        <f t="shared" si="875"/>
        <v>6707250</v>
      </c>
      <c r="E1670" s="1">
        <f t="shared" si="870"/>
        <v>0</v>
      </c>
      <c r="F1670" s="1">
        <v>0</v>
      </c>
      <c r="G1670" s="1">
        <v>0</v>
      </c>
      <c r="H1670" s="1">
        <v>0</v>
      </c>
      <c r="I1670" s="1">
        <v>0</v>
      </c>
      <c r="J1670" s="1">
        <v>0</v>
      </c>
      <c r="K1670" s="1">
        <v>0</v>
      </c>
      <c r="L1670" s="2">
        <v>0</v>
      </c>
      <c r="M1670" s="1">
        <v>0</v>
      </c>
      <c r="N1670" s="1">
        <v>859</v>
      </c>
      <c r="O1670" s="1">
        <f>N1670*7750</f>
        <v>6657250</v>
      </c>
      <c r="P1670" s="1">
        <v>0</v>
      </c>
      <c r="Q1670" s="1">
        <f t="shared" si="871"/>
        <v>0</v>
      </c>
      <c r="R1670" s="1">
        <v>0</v>
      </c>
      <c r="S1670" s="1">
        <f t="shared" si="879"/>
        <v>0</v>
      </c>
      <c r="T1670" s="1">
        <v>0</v>
      </c>
      <c r="U1670" s="1">
        <v>0</v>
      </c>
      <c r="V1670" s="1">
        <v>0</v>
      </c>
      <c r="W1670" s="1">
        <v>50000</v>
      </c>
      <c r="X1670" s="1">
        <v>0</v>
      </c>
      <c r="Y1670" s="1">
        <v>0</v>
      </c>
      <c r="Z1670" s="1">
        <v>0</v>
      </c>
      <c r="AA1670" s="1">
        <v>0</v>
      </c>
      <c r="AB1670" s="1">
        <v>0</v>
      </c>
      <c r="AC1670" s="1">
        <v>0</v>
      </c>
      <c r="AD1670" s="1">
        <v>0</v>
      </c>
    </row>
    <row r="1671" spans="1:30" s="20" customFormat="1" ht="36" customHeight="1" x14ac:dyDescent="0.25">
      <c r="A1671" s="2">
        <f t="shared" si="878"/>
        <v>1615</v>
      </c>
      <c r="B1671" s="6">
        <f>A1671</f>
        <v>1615</v>
      </c>
      <c r="C1671" s="19" t="s">
        <v>430</v>
      </c>
      <c r="D1671" s="4">
        <f t="shared" si="875"/>
        <v>3245660.5999999996</v>
      </c>
      <c r="E1671" s="1">
        <f t="shared" si="870"/>
        <v>3195660.5999999996</v>
      </c>
      <c r="F1671" s="1">
        <f>804*1279.8</f>
        <v>1028959.2</v>
      </c>
      <c r="G1671" s="1">
        <f>1693*1279.8</f>
        <v>2166701.4</v>
      </c>
      <c r="H1671" s="1">
        <v>0</v>
      </c>
      <c r="I1671" s="1">
        <v>0</v>
      </c>
      <c r="J1671" s="1">
        <v>0</v>
      </c>
      <c r="K1671" s="1">
        <v>0</v>
      </c>
      <c r="L1671" s="2">
        <v>0</v>
      </c>
      <c r="M1671" s="1">
        <v>0</v>
      </c>
      <c r="N1671" s="1">
        <v>0</v>
      </c>
      <c r="O1671" s="1">
        <v>0</v>
      </c>
      <c r="P1671" s="1">
        <v>0</v>
      </c>
      <c r="Q1671" s="1">
        <f t="shared" si="871"/>
        <v>0</v>
      </c>
      <c r="R1671" s="1">
        <v>0</v>
      </c>
      <c r="S1671" s="1">
        <f t="shared" si="879"/>
        <v>0</v>
      </c>
      <c r="T1671" s="1">
        <v>0</v>
      </c>
      <c r="U1671" s="1">
        <v>50000</v>
      </c>
      <c r="V1671" s="1">
        <v>0</v>
      </c>
      <c r="W1671" s="1">
        <v>0</v>
      </c>
      <c r="X1671" s="1">
        <v>0</v>
      </c>
      <c r="Y1671" s="1">
        <v>0</v>
      </c>
      <c r="Z1671" s="1">
        <v>0</v>
      </c>
      <c r="AA1671" s="1">
        <v>0</v>
      </c>
      <c r="AB1671" s="1">
        <v>0</v>
      </c>
      <c r="AC1671" s="1">
        <v>0</v>
      </c>
      <c r="AD1671" s="1">
        <v>0</v>
      </c>
    </row>
    <row r="1672" spans="1:30" s="20" customFormat="1" ht="36" customHeight="1" x14ac:dyDescent="0.25">
      <c r="A1672" s="2">
        <f t="shared" si="878"/>
        <v>1616</v>
      </c>
      <c r="B1672" s="6">
        <f t="shared" si="876"/>
        <v>1616</v>
      </c>
      <c r="C1672" s="19" t="s">
        <v>953</v>
      </c>
      <c r="D1672" s="4">
        <f t="shared" si="875"/>
        <v>2553839.0300000003</v>
      </c>
      <c r="E1672" s="1">
        <f t="shared" si="870"/>
        <v>1228499.03</v>
      </c>
      <c r="F1672" s="1">
        <f>804*491.99</f>
        <v>395559.96</v>
      </c>
      <c r="G1672" s="1">
        <f>1693*491.99</f>
        <v>832939.07000000007</v>
      </c>
      <c r="H1672" s="1">
        <v>0</v>
      </c>
      <c r="I1672" s="1">
        <v>0</v>
      </c>
      <c r="J1672" s="1">
        <v>0</v>
      </c>
      <c r="K1672" s="1">
        <v>0</v>
      </c>
      <c r="L1672" s="2">
        <v>0</v>
      </c>
      <c r="M1672" s="1">
        <v>0</v>
      </c>
      <c r="N1672" s="1">
        <v>0</v>
      </c>
      <c r="O1672" s="1">
        <v>0</v>
      </c>
      <c r="P1672" s="1">
        <v>0</v>
      </c>
      <c r="Q1672" s="1">
        <f t="shared" si="871"/>
        <v>0</v>
      </c>
      <c r="R1672" s="1">
        <v>340</v>
      </c>
      <c r="S1672" s="1">
        <f t="shared" si="879"/>
        <v>1275340</v>
      </c>
      <c r="T1672" s="1">
        <v>0</v>
      </c>
      <c r="U1672" s="1">
        <v>50000</v>
      </c>
      <c r="V1672" s="1">
        <v>0</v>
      </c>
      <c r="W1672" s="1">
        <v>0</v>
      </c>
      <c r="X1672" s="1">
        <v>0</v>
      </c>
      <c r="Y1672" s="1">
        <v>0</v>
      </c>
      <c r="Z1672" s="1">
        <v>0</v>
      </c>
      <c r="AA1672" s="1">
        <v>0</v>
      </c>
      <c r="AB1672" s="1">
        <v>0</v>
      </c>
      <c r="AC1672" s="1">
        <v>0</v>
      </c>
      <c r="AD1672" s="1">
        <v>0</v>
      </c>
    </row>
    <row r="1673" spans="1:30" s="20" customFormat="1" ht="36" customHeight="1" x14ac:dyDescent="0.25">
      <c r="A1673" s="2">
        <f t="shared" si="878"/>
        <v>1617</v>
      </c>
      <c r="B1673" s="6">
        <f t="shared" si="876"/>
        <v>1617</v>
      </c>
      <c r="C1673" s="19" t="s">
        <v>954</v>
      </c>
      <c r="D1673" s="4">
        <f t="shared" si="875"/>
        <v>750083.89</v>
      </c>
      <c r="E1673" s="1">
        <f t="shared" si="870"/>
        <v>700083.89</v>
      </c>
      <c r="F1673" s="1">
        <f>804*280.37</f>
        <v>225417.48</v>
      </c>
      <c r="G1673" s="1">
        <f>1693*280.37</f>
        <v>474666.41000000003</v>
      </c>
      <c r="H1673" s="1">
        <v>0</v>
      </c>
      <c r="I1673" s="1">
        <v>0</v>
      </c>
      <c r="J1673" s="1">
        <v>0</v>
      </c>
      <c r="K1673" s="1">
        <v>0</v>
      </c>
      <c r="L1673" s="2">
        <v>0</v>
      </c>
      <c r="M1673" s="1">
        <v>0</v>
      </c>
      <c r="N1673" s="1">
        <v>0</v>
      </c>
      <c r="O1673" s="1">
        <v>0</v>
      </c>
      <c r="P1673" s="1">
        <v>0</v>
      </c>
      <c r="Q1673" s="1">
        <f t="shared" si="871"/>
        <v>0</v>
      </c>
      <c r="R1673" s="1">
        <v>0</v>
      </c>
      <c r="S1673" s="1">
        <f t="shared" ref="S1673:S1681" si="880">R1673*3751</f>
        <v>0</v>
      </c>
      <c r="T1673" s="1">
        <v>0</v>
      </c>
      <c r="U1673" s="1">
        <v>50000</v>
      </c>
      <c r="V1673" s="1">
        <v>0</v>
      </c>
      <c r="W1673" s="1">
        <v>0</v>
      </c>
      <c r="X1673" s="1">
        <v>0</v>
      </c>
      <c r="Y1673" s="1">
        <v>0</v>
      </c>
      <c r="Z1673" s="1">
        <v>0</v>
      </c>
      <c r="AA1673" s="1">
        <v>0</v>
      </c>
      <c r="AB1673" s="1">
        <v>0</v>
      </c>
      <c r="AC1673" s="1">
        <v>0</v>
      </c>
      <c r="AD1673" s="1">
        <v>0</v>
      </c>
    </row>
    <row r="1674" spans="1:30" s="20" customFormat="1" ht="36" customHeight="1" x14ac:dyDescent="0.25">
      <c r="A1674" s="2">
        <f t="shared" si="878"/>
        <v>1618</v>
      </c>
      <c r="B1674" s="6">
        <f t="shared" si="876"/>
        <v>1618</v>
      </c>
      <c r="C1674" s="19" t="s">
        <v>955</v>
      </c>
      <c r="D1674" s="4">
        <f t="shared" si="875"/>
        <v>3446409.9999999995</v>
      </c>
      <c r="E1674" s="1">
        <f t="shared" si="870"/>
        <v>2121069.9999999995</v>
      </c>
      <c r="F1674" s="1">
        <f>804*540.4</f>
        <v>434481.6</v>
      </c>
      <c r="G1674" s="1">
        <f>1693*540.4</f>
        <v>914897.2</v>
      </c>
      <c r="H1674" s="1">
        <f>390*540.4</f>
        <v>210756</v>
      </c>
      <c r="I1674" s="1">
        <f>571*540.4</f>
        <v>308568.39999999997</v>
      </c>
      <c r="J1674" s="1">
        <f>467*540.4</f>
        <v>252366.8</v>
      </c>
      <c r="K1674" s="1">
        <v>0</v>
      </c>
      <c r="L1674" s="2">
        <v>0</v>
      </c>
      <c r="M1674" s="1">
        <v>0</v>
      </c>
      <c r="N1674" s="1">
        <v>0</v>
      </c>
      <c r="O1674" s="1">
        <v>0</v>
      </c>
      <c r="P1674" s="1">
        <v>0</v>
      </c>
      <c r="Q1674" s="1">
        <f t="shared" si="871"/>
        <v>0</v>
      </c>
      <c r="R1674" s="1">
        <v>340</v>
      </c>
      <c r="S1674" s="1">
        <f t="shared" si="880"/>
        <v>1275340</v>
      </c>
      <c r="T1674" s="1">
        <v>0</v>
      </c>
      <c r="U1674" s="1">
        <v>50000</v>
      </c>
      <c r="V1674" s="1">
        <v>0</v>
      </c>
      <c r="W1674" s="1">
        <v>0</v>
      </c>
      <c r="X1674" s="1">
        <v>0</v>
      </c>
      <c r="Y1674" s="1">
        <v>0</v>
      </c>
      <c r="Z1674" s="1">
        <v>0</v>
      </c>
      <c r="AA1674" s="1">
        <v>0</v>
      </c>
      <c r="AB1674" s="1">
        <v>0</v>
      </c>
      <c r="AC1674" s="1">
        <v>0</v>
      </c>
      <c r="AD1674" s="1">
        <v>0</v>
      </c>
    </row>
    <row r="1675" spans="1:30" s="20" customFormat="1" ht="36" customHeight="1" x14ac:dyDescent="0.25">
      <c r="A1675" s="2">
        <f t="shared" si="878"/>
        <v>1619</v>
      </c>
      <c r="B1675" s="6">
        <f t="shared" si="876"/>
        <v>1619</v>
      </c>
      <c r="C1675" s="19" t="s">
        <v>1839</v>
      </c>
      <c r="D1675" s="4">
        <f t="shared" si="875"/>
        <v>2404082.5</v>
      </c>
      <c r="E1675" s="1">
        <f t="shared" si="870"/>
        <v>1028742.5</v>
      </c>
      <c r="F1675" s="1">
        <f>804*262.1</f>
        <v>210728.40000000002</v>
      </c>
      <c r="G1675" s="1">
        <f>1693*262.1</f>
        <v>443735.30000000005</v>
      </c>
      <c r="H1675" s="1">
        <f>390*262.1</f>
        <v>102219.00000000001</v>
      </c>
      <c r="I1675" s="1">
        <f>571*262.1</f>
        <v>149659.1</v>
      </c>
      <c r="J1675" s="1">
        <f>467*262.1</f>
        <v>122400.70000000001</v>
      </c>
      <c r="K1675" s="1">
        <v>0</v>
      </c>
      <c r="L1675" s="2">
        <v>0</v>
      </c>
      <c r="M1675" s="1">
        <v>0</v>
      </c>
      <c r="N1675" s="1">
        <v>0</v>
      </c>
      <c r="O1675" s="1">
        <v>0</v>
      </c>
      <c r="P1675" s="1">
        <v>0</v>
      </c>
      <c r="Q1675" s="1">
        <f>P1675*1400</f>
        <v>0</v>
      </c>
      <c r="R1675" s="1">
        <v>340</v>
      </c>
      <c r="S1675" s="1">
        <f t="shared" si="880"/>
        <v>1275340</v>
      </c>
      <c r="T1675" s="1">
        <v>0</v>
      </c>
      <c r="U1675" s="1">
        <v>50000</v>
      </c>
      <c r="V1675" s="1">
        <v>0</v>
      </c>
      <c r="W1675" s="1">
        <v>50000</v>
      </c>
      <c r="X1675" s="1">
        <v>0</v>
      </c>
      <c r="Y1675" s="1">
        <v>0</v>
      </c>
      <c r="Z1675" s="1">
        <v>0</v>
      </c>
      <c r="AA1675" s="1">
        <v>0</v>
      </c>
      <c r="AB1675" s="1">
        <v>0</v>
      </c>
      <c r="AC1675" s="1">
        <v>0</v>
      </c>
      <c r="AD1675" s="1">
        <v>0</v>
      </c>
    </row>
    <row r="1676" spans="1:30" s="20" customFormat="1" ht="36" customHeight="1" x14ac:dyDescent="0.25">
      <c r="A1676" s="2">
        <f t="shared" si="878"/>
        <v>1620</v>
      </c>
      <c r="B1676" s="6">
        <f t="shared" si="876"/>
        <v>1620</v>
      </c>
      <c r="C1676" s="19" t="s">
        <v>956</v>
      </c>
      <c r="D1676" s="4">
        <f t="shared" si="875"/>
        <v>21881011.5</v>
      </c>
      <c r="E1676" s="1">
        <f t="shared" si="870"/>
        <v>13607582.500000002</v>
      </c>
      <c r="F1676" s="1">
        <f>804*3466.9</f>
        <v>2787387.6</v>
      </c>
      <c r="G1676" s="1">
        <f>1693*3466.9</f>
        <v>5869461.7000000002</v>
      </c>
      <c r="H1676" s="1">
        <f>390*3466.9</f>
        <v>1352091</v>
      </c>
      <c r="I1676" s="1">
        <f>571*3466.9</f>
        <v>1979599.9000000001</v>
      </c>
      <c r="J1676" s="1">
        <f>467*3466.9</f>
        <v>1619042.3</v>
      </c>
      <c r="K1676" s="1">
        <v>0</v>
      </c>
      <c r="L1676" s="2">
        <v>0</v>
      </c>
      <c r="M1676" s="1">
        <v>0</v>
      </c>
      <c r="N1676" s="1">
        <v>0</v>
      </c>
      <c r="O1676" s="1">
        <v>0</v>
      </c>
      <c r="P1676" s="1">
        <v>0</v>
      </c>
      <c r="Q1676" s="1">
        <f>P1676*1400</f>
        <v>0</v>
      </c>
      <c r="R1676" s="1">
        <v>2179</v>
      </c>
      <c r="S1676" s="1">
        <f t="shared" si="880"/>
        <v>8173429</v>
      </c>
      <c r="T1676" s="1">
        <v>0</v>
      </c>
      <c r="U1676" s="1">
        <v>50000</v>
      </c>
      <c r="V1676" s="1">
        <v>0</v>
      </c>
      <c r="W1676" s="1">
        <v>50000</v>
      </c>
      <c r="X1676" s="1">
        <v>0</v>
      </c>
      <c r="Y1676" s="1">
        <v>0</v>
      </c>
      <c r="Z1676" s="1">
        <v>0</v>
      </c>
      <c r="AA1676" s="1">
        <v>0</v>
      </c>
      <c r="AB1676" s="1">
        <v>0</v>
      </c>
      <c r="AC1676" s="1">
        <v>0</v>
      </c>
      <c r="AD1676" s="1">
        <v>0</v>
      </c>
    </row>
    <row r="1677" spans="1:30" s="20" customFormat="1" ht="36" customHeight="1" x14ac:dyDescent="0.25">
      <c r="A1677" s="2">
        <f t="shared" si="878"/>
        <v>1621</v>
      </c>
      <c r="B1677" s="6">
        <f t="shared" si="876"/>
        <v>1621</v>
      </c>
      <c r="C1677" s="19" t="s">
        <v>957</v>
      </c>
      <c r="D1677" s="4">
        <f t="shared" si="875"/>
        <v>11869406.119999997</v>
      </c>
      <c r="E1677" s="1">
        <f t="shared" si="870"/>
        <v>6832639.9999999991</v>
      </c>
      <c r="F1677" s="1">
        <f>804*1740.8</f>
        <v>1399603.2</v>
      </c>
      <c r="G1677" s="1">
        <f>1693*1740.8</f>
        <v>2947174.3999999999</v>
      </c>
      <c r="H1677" s="1">
        <f>390*1740.8</f>
        <v>678912</v>
      </c>
      <c r="I1677" s="1">
        <f>571*1740.8</f>
        <v>993996.79999999993</v>
      </c>
      <c r="J1677" s="1">
        <f>467*1740.8</f>
        <v>812953.59999999998</v>
      </c>
      <c r="K1677" s="1">
        <v>0</v>
      </c>
      <c r="L1677" s="2">
        <v>0</v>
      </c>
      <c r="M1677" s="1">
        <v>0</v>
      </c>
      <c r="N1677" s="1">
        <v>0</v>
      </c>
      <c r="O1677" s="1">
        <v>0</v>
      </c>
      <c r="P1677" s="1">
        <v>0</v>
      </c>
      <c r="Q1677" s="1">
        <f>P1677*1400</f>
        <v>0</v>
      </c>
      <c r="R1677" s="1">
        <v>1316.12</v>
      </c>
      <c r="S1677" s="1">
        <f t="shared" si="880"/>
        <v>4936766.1199999992</v>
      </c>
      <c r="T1677" s="1">
        <v>0</v>
      </c>
      <c r="U1677" s="1">
        <v>50000</v>
      </c>
      <c r="V1677" s="1">
        <v>0</v>
      </c>
      <c r="W1677" s="1">
        <v>50000</v>
      </c>
      <c r="X1677" s="1">
        <v>0</v>
      </c>
      <c r="Y1677" s="1">
        <v>0</v>
      </c>
      <c r="Z1677" s="1">
        <v>0</v>
      </c>
      <c r="AA1677" s="1">
        <v>0</v>
      </c>
      <c r="AB1677" s="1">
        <v>0</v>
      </c>
      <c r="AC1677" s="1">
        <v>0</v>
      </c>
      <c r="AD1677" s="1">
        <v>0</v>
      </c>
    </row>
    <row r="1678" spans="1:30" s="20" customFormat="1" ht="36" customHeight="1" x14ac:dyDescent="0.25">
      <c r="A1678" s="2">
        <f t="shared" si="878"/>
        <v>1622</v>
      </c>
      <c r="B1678" s="6">
        <f t="shared" si="876"/>
        <v>1622</v>
      </c>
      <c r="C1678" s="19" t="s">
        <v>958</v>
      </c>
      <c r="D1678" s="4">
        <f t="shared" si="875"/>
        <v>17555327.5</v>
      </c>
      <c r="E1678" s="1">
        <f t="shared" si="870"/>
        <v>10628507.500000002</v>
      </c>
      <c r="F1678" s="1">
        <f>804*2707.9</f>
        <v>2177151.6</v>
      </c>
      <c r="G1678" s="1">
        <f>1693*2707.9</f>
        <v>4584474.7</v>
      </c>
      <c r="H1678" s="1">
        <f>390*2707.9</f>
        <v>1056081</v>
      </c>
      <c r="I1678" s="1">
        <f>571*2707.9</f>
        <v>1546210.9000000001</v>
      </c>
      <c r="J1678" s="1">
        <f>467*2707.9</f>
        <v>1264589.3</v>
      </c>
      <c r="K1678" s="1">
        <v>0</v>
      </c>
      <c r="L1678" s="2">
        <v>0</v>
      </c>
      <c r="M1678" s="1">
        <v>0</v>
      </c>
      <c r="N1678" s="1">
        <v>0</v>
      </c>
      <c r="O1678" s="1">
        <v>0</v>
      </c>
      <c r="P1678" s="1">
        <v>0</v>
      </c>
      <c r="Q1678" s="1">
        <f>P1678*1400</f>
        <v>0</v>
      </c>
      <c r="R1678" s="1">
        <v>1820</v>
      </c>
      <c r="S1678" s="1">
        <f t="shared" si="880"/>
        <v>6826820</v>
      </c>
      <c r="T1678" s="1">
        <v>0</v>
      </c>
      <c r="U1678" s="1">
        <v>50000</v>
      </c>
      <c r="V1678" s="1">
        <v>0</v>
      </c>
      <c r="W1678" s="1">
        <v>50000</v>
      </c>
      <c r="X1678" s="1">
        <v>0</v>
      </c>
      <c r="Y1678" s="1">
        <v>0</v>
      </c>
      <c r="Z1678" s="1">
        <v>0</v>
      </c>
      <c r="AA1678" s="1">
        <v>0</v>
      </c>
      <c r="AB1678" s="1">
        <v>0</v>
      </c>
      <c r="AC1678" s="1">
        <v>0</v>
      </c>
      <c r="AD1678" s="1">
        <v>0</v>
      </c>
    </row>
    <row r="1679" spans="1:30" s="20" customFormat="1" ht="36" customHeight="1" x14ac:dyDescent="0.25">
      <c r="A1679" s="2">
        <f t="shared" si="878"/>
        <v>1623</v>
      </c>
      <c r="B1679" s="6">
        <f t="shared" si="876"/>
        <v>1623</v>
      </c>
      <c r="C1679" s="30" t="s">
        <v>959</v>
      </c>
      <c r="D1679" s="4">
        <f t="shared" si="875"/>
        <v>5251400</v>
      </c>
      <c r="E1679" s="1">
        <f t="shared" si="870"/>
        <v>0</v>
      </c>
      <c r="F1679" s="1">
        <v>0</v>
      </c>
      <c r="G1679" s="1">
        <v>0</v>
      </c>
      <c r="H1679" s="1">
        <v>0</v>
      </c>
      <c r="I1679" s="1">
        <v>0</v>
      </c>
      <c r="J1679" s="1">
        <v>0</v>
      </c>
      <c r="K1679" s="1">
        <v>0</v>
      </c>
      <c r="L1679" s="2">
        <v>0</v>
      </c>
      <c r="M1679" s="1">
        <v>0</v>
      </c>
      <c r="N1679" s="1">
        <v>0</v>
      </c>
      <c r="O1679" s="1">
        <v>0</v>
      </c>
      <c r="P1679" s="1">
        <v>0</v>
      </c>
      <c r="Q1679" s="1">
        <f t="shared" si="871"/>
        <v>0</v>
      </c>
      <c r="R1679" s="1">
        <v>1400</v>
      </c>
      <c r="S1679" s="1">
        <f t="shared" si="880"/>
        <v>5251400</v>
      </c>
      <c r="T1679" s="1">
        <v>0</v>
      </c>
      <c r="U1679" s="1">
        <v>0</v>
      </c>
      <c r="V1679" s="1">
        <v>0</v>
      </c>
      <c r="W1679" s="1">
        <v>0</v>
      </c>
      <c r="X1679" s="1">
        <v>0</v>
      </c>
      <c r="Y1679" s="1">
        <v>0</v>
      </c>
      <c r="Z1679" s="1">
        <v>0</v>
      </c>
      <c r="AA1679" s="1">
        <v>0</v>
      </c>
      <c r="AB1679" s="1">
        <v>0</v>
      </c>
      <c r="AC1679" s="1">
        <v>0</v>
      </c>
      <c r="AD1679" s="1">
        <v>0</v>
      </c>
    </row>
    <row r="1680" spans="1:30" s="20" customFormat="1" ht="36" customHeight="1" x14ac:dyDescent="0.25">
      <c r="A1680" s="2">
        <f t="shared" si="878"/>
        <v>1624</v>
      </c>
      <c r="B1680" s="6">
        <f t="shared" si="876"/>
        <v>1624</v>
      </c>
      <c r="C1680" s="19" t="s">
        <v>960</v>
      </c>
      <c r="D1680" s="4">
        <f t="shared" si="875"/>
        <v>11948548.069999998</v>
      </c>
      <c r="E1680" s="1">
        <f t="shared" si="870"/>
        <v>6904467.4999999991</v>
      </c>
      <c r="F1680" s="1">
        <f>804*1759.1</f>
        <v>1414316.4</v>
      </c>
      <c r="G1680" s="1">
        <f>1693*1759.1</f>
        <v>2978156.3</v>
      </c>
      <c r="H1680" s="1">
        <f>390*1759.1</f>
        <v>686049</v>
      </c>
      <c r="I1680" s="1">
        <f>571*1759.1</f>
        <v>1004446.1</v>
      </c>
      <c r="J1680" s="1">
        <f>467*1759.1</f>
        <v>821499.7</v>
      </c>
      <c r="K1680" s="1">
        <v>0</v>
      </c>
      <c r="L1680" s="2">
        <v>0</v>
      </c>
      <c r="M1680" s="1">
        <v>0</v>
      </c>
      <c r="N1680" s="1">
        <v>0</v>
      </c>
      <c r="O1680" s="1">
        <v>0</v>
      </c>
      <c r="P1680" s="1">
        <v>0</v>
      </c>
      <c r="Q1680" s="1">
        <f>P1680*1400</f>
        <v>0</v>
      </c>
      <c r="R1680" s="1">
        <v>1318.07</v>
      </c>
      <c r="S1680" s="1">
        <f t="shared" si="880"/>
        <v>4944080.5699999994</v>
      </c>
      <c r="T1680" s="1">
        <v>0</v>
      </c>
      <c r="U1680" s="1">
        <v>50000</v>
      </c>
      <c r="V1680" s="1">
        <v>0</v>
      </c>
      <c r="W1680" s="1">
        <v>50000</v>
      </c>
      <c r="X1680" s="1">
        <v>0</v>
      </c>
      <c r="Y1680" s="1">
        <v>0</v>
      </c>
      <c r="Z1680" s="1">
        <v>0</v>
      </c>
      <c r="AA1680" s="1">
        <v>0</v>
      </c>
      <c r="AB1680" s="1">
        <v>0</v>
      </c>
      <c r="AC1680" s="1">
        <v>0</v>
      </c>
      <c r="AD1680" s="1">
        <v>0</v>
      </c>
    </row>
    <row r="1681" spans="1:30" s="20" customFormat="1" ht="36" customHeight="1" x14ac:dyDescent="0.25">
      <c r="A1681" s="2">
        <f t="shared" si="878"/>
        <v>1625</v>
      </c>
      <c r="B1681" s="6">
        <f t="shared" si="876"/>
        <v>1625</v>
      </c>
      <c r="C1681" s="30" t="s">
        <v>962</v>
      </c>
      <c r="D1681" s="4">
        <f t="shared" si="875"/>
        <v>6564250</v>
      </c>
      <c r="E1681" s="1">
        <f t="shared" si="870"/>
        <v>0</v>
      </c>
      <c r="F1681" s="1">
        <v>0</v>
      </c>
      <c r="G1681" s="1">
        <v>0</v>
      </c>
      <c r="H1681" s="1">
        <v>0</v>
      </c>
      <c r="I1681" s="1">
        <v>0</v>
      </c>
      <c r="J1681" s="1">
        <v>0</v>
      </c>
      <c r="K1681" s="1">
        <v>0</v>
      </c>
      <c r="L1681" s="2">
        <v>0</v>
      </c>
      <c r="M1681" s="1">
        <v>0</v>
      </c>
      <c r="N1681" s="1">
        <v>0</v>
      </c>
      <c r="O1681" s="1">
        <v>0</v>
      </c>
      <c r="P1681" s="1">
        <v>0</v>
      </c>
      <c r="Q1681" s="1">
        <f t="shared" si="871"/>
        <v>0</v>
      </c>
      <c r="R1681" s="1">
        <v>1750</v>
      </c>
      <c r="S1681" s="1">
        <f t="shared" si="880"/>
        <v>6564250</v>
      </c>
      <c r="T1681" s="1">
        <v>0</v>
      </c>
      <c r="U1681" s="1">
        <v>0</v>
      </c>
      <c r="V1681" s="1">
        <v>0</v>
      </c>
      <c r="W1681" s="1">
        <v>0</v>
      </c>
      <c r="X1681" s="1">
        <v>0</v>
      </c>
      <c r="Y1681" s="1">
        <v>0</v>
      </c>
      <c r="Z1681" s="1">
        <v>0</v>
      </c>
      <c r="AA1681" s="1">
        <v>0</v>
      </c>
      <c r="AB1681" s="1">
        <v>0</v>
      </c>
      <c r="AC1681" s="1">
        <v>0</v>
      </c>
      <c r="AD1681" s="1">
        <v>0</v>
      </c>
    </row>
    <row r="1682" spans="1:30" s="20" customFormat="1" ht="36" customHeight="1" x14ac:dyDescent="0.25">
      <c r="A1682" s="2">
        <f t="shared" si="878"/>
        <v>1626</v>
      </c>
      <c r="B1682" s="6">
        <f t="shared" si="876"/>
        <v>1626</v>
      </c>
      <c r="C1682" s="30" t="s">
        <v>963</v>
      </c>
      <c r="D1682" s="4">
        <f t="shared" si="875"/>
        <v>29246962</v>
      </c>
      <c r="E1682" s="1">
        <f t="shared" si="870"/>
        <v>21644962</v>
      </c>
      <c r="F1682" s="1">
        <f>804*5514.64</f>
        <v>4433770.5600000005</v>
      </c>
      <c r="G1682" s="1">
        <f>1693*5514.64</f>
        <v>9336285.5200000014</v>
      </c>
      <c r="H1682" s="1">
        <f>390*5514.64</f>
        <v>2150709.6</v>
      </c>
      <c r="I1682" s="1">
        <f>571*5514.64</f>
        <v>3148859.4400000004</v>
      </c>
      <c r="J1682" s="1">
        <f>467*5514.64</f>
        <v>2575336.8800000004</v>
      </c>
      <c r="K1682" s="1">
        <v>0</v>
      </c>
      <c r="L1682" s="2">
        <v>0</v>
      </c>
      <c r="M1682" s="1">
        <v>0</v>
      </c>
      <c r="N1682" s="1">
        <v>0</v>
      </c>
      <c r="O1682" s="1">
        <v>0</v>
      </c>
      <c r="P1682" s="1">
        <v>0</v>
      </c>
      <c r="Q1682" s="1">
        <f t="shared" si="871"/>
        <v>0</v>
      </c>
      <c r="R1682" s="1">
        <v>2000</v>
      </c>
      <c r="S1682" s="1">
        <f t="shared" ref="S1682:S1687" si="881">R1682*3751</f>
        <v>7502000</v>
      </c>
      <c r="T1682" s="1">
        <v>0</v>
      </c>
      <c r="U1682" s="1">
        <v>50000</v>
      </c>
      <c r="V1682" s="1">
        <v>0</v>
      </c>
      <c r="W1682" s="1">
        <v>50000</v>
      </c>
      <c r="X1682" s="1">
        <v>0</v>
      </c>
      <c r="Y1682" s="1">
        <v>0</v>
      </c>
      <c r="Z1682" s="1">
        <v>0</v>
      </c>
      <c r="AA1682" s="1">
        <v>0</v>
      </c>
      <c r="AB1682" s="1">
        <v>0</v>
      </c>
      <c r="AC1682" s="1">
        <v>0</v>
      </c>
      <c r="AD1682" s="1">
        <v>0</v>
      </c>
    </row>
    <row r="1683" spans="1:30" s="20" customFormat="1" ht="36" customHeight="1" x14ac:dyDescent="0.25">
      <c r="A1683" s="2">
        <f t="shared" si="878"/>
        <v>1627</v>
      </c>
      <c r="B1683" s="6">
        <f t="shared" si="876"/>
        <v>1627</v>
      </c>
      <c r="C1683" s="30" t="s">
        <v>964</v>
      </c>
      <c r="D1683" s="4">
        <f t="shared" si="875"/>
        <v>15603421.5</v>
      </c>
      <c r="E1683" s="1">
        <f t="shared" si="870"/>
        <v>10252021.5</v>
      </c>
      <c r="F1683" s="1">
        <f>804*2611.98</f>
        <v>2100031.92</v>
      </c>
      <c r="G1683" s="1">
        <f>1693*2611.98</f>
        <v>4422082.1399999997</v>
      </c>
      <c r="H1683" s="1">
        <f>390*2611.98</f>
        <v>1018672.2</v>
      </c>
      <c r="I1683" s="1">
        <f>571*2611.98</f>
        <v>1491440.58</v>
      </c>
      <c r="J1683" s="1">
        <f>467*2611.98</f>
        <v>1219794.6599999999</v>
      </c>
      <c r="K1683" s="1">
        <v>0</v>
      </c>
      <c r="L1683" s="2">
        <v>0</v>
      </c>
      <c r="M1683" s="1">
        <v>0</v>
      </c>
      <c r="N1683" s="1">
        <v>0</v>
      </c>
      <c r="O1683" s="1">
        <v>0</v>
      </c>
      <c r="P1683" s="1">
        <v>0</v>
      </c>
      <c r="Q1683" s="1">
        <f t="shared" si="871"/>
        <v>0</v>
      </c>
      <c r="R1683" s="1">
        <v>1400</v>
      </c>
      <c r="S1683" s="1">
        <f t="shared" si="881"/>
        <v>5251400</v>
      </c>
      <c r="T1683" s="1">
        <v>0</v>
      </c>
      <c r="U1683" s="1">
        <v>50000</v>
      </c>
      <c r="V1683" s="1">
        <v>0</v>
      </c>
      <c r="W1683" s="1">
        <v>50000</v>
      </c>
      <c r="X1683" s="1">
        <v>0</v>
      </c>
      <c r="Y1683" s="1">
        <v>0</v>
      </c>
      <c r="Z1683" s="1">
        <v>0</v>
      </c>
      <c r="AA1683" s="1">
        <v>0</v>
      </c>
      <c r="AB1683" s="1">
        <v>0</v>
      </c>
      <c r="AC1683" s="1">
        <v>0</v>
      </c>
      <c r="AD1683" s="1">
        <v>0</v>
      </c>
    </row>
    <row r="1684" spans="1:30" s="20" customFormat="1" ht="36" customHeight="1" x14ac:dyDescent="0.25">
      <c r="A1684" s="2">
        <f t="shared" si="878"/>
        <v>1628</v>
      </c>
      <c r="B1684" s="6">
        <f t="shared" si="876"/>
        <v>1628</v>
      </c>
      <c r="C1684" s="30" t="s">
        <v>965</v>
      </c>
      <c r="D1684" s="4">
        <f t="shared" si="875"/>
        <v>15354196.25</v>
      </c>
      <c r="E1684" s="1">
        <f t="shared" si="870"/>
        <v>10377896.25</v>
      </c>
      <c r="F1684" s="1">
        <f>804*2644.05</f>
        <v>2125816.2000000002</v>
      </c>
      <c r="G1684" s="1">
        <f>1693*2644.05</f>
        <v>4476376.6500000004</v>
      </c>
      <c r="H1684" s="1">
        <f>390*2644.05</f>
        <v>1031179.5000000001</v>
      </c>
      <c r="I1684" s="1">
        <f>571*2644.05</f>
        <v>1509752.55</v>
      </c>
      <c r="J1684" s="1">
        <f>467*2644.05</f>
        <v>1234771.3500000001</v>
      </c>
      <c r="K1684" s="1">
        <v>0</v>
      </c>
      <c r="L1684" s="2">
        <v>0</v>
      </c>
      <c r="M1684" s="1">
        <v>0</v>
      </c>
      <c r="N1684" s="1">
        <v>0</v>
      </c>
      <c r="O1684" s="1">
        <v>0</v>
      </c>
      <c r="P1684" s="1">
        <v>0</v>
      </c>
      <c r="Q1684" s="1">
        <f t="shared" si="871"/>
        <v>0</v>
      </c>
      <c r="R1684" s="1">
        <v>1300</v>
      </c>
      <c r="S1684" s="1">
        <f t="shared" si="881"/>
        <v>4876300</v>
      </c>
      <c r="T1684" s="1">
        <v>0</v>
      </c>
      <c r="U1684" s="1">
        <v>50000</v>
      </c>
      <c r="V1684" s="1">
        <v>0</v>
      </c>
      <c r="W1684" s="1">
        <v>50000</v>
      </c>
      <c r="X1684" s="1">
        <v>0</v>
      </c>
      <c r="Y1684" s="1">
        <v>0</v>
      </c>
      <c r="Z1684" s="1">
        <v>0</v>
      </c>
      <c r="AA1684" s="1">
        <v>0</v>
      </c>
      <c r="AB1684" s="1">
        <v>0</v>
      </c>
      <c r="AC1684" s="1">
        <v>0</v>
      </c>
      <c r="AD1684" s="1">
        <v>0</v>
      </c>
    </row>
    <row r="1685" spans="1:30" s="20" customFormat="1" ht="35.25" customHeight="1" x14ac:dyDescent="0.25">
      <c r="A1685" s="2">
        <f t="shared" si="878"/>
        <v>1629</v>
      </c>
      <c r="B1685" s="6">
        <f>A1685</f>
        <v>1629</v>
      </c>
      <c r="C1685" s="19" t="s">
        <v>1873</v>
      </c>
      <c r="D1685" s="8">
        <f t="shared" si="875"/>
        <v>7200000</v>
      </c>
      <c r="E1685" s="1">
        <f>SUM(F1685:K1685)</f>
        <v>0</v>
      </c>
      <c r="F1685" s="1">
        <v>0</v>
      </c>
      <c r="G1685" s="1">
        <v>0</v>
      </c>
      <c r="H1685" s="1">
        <v>0</v>
      </c>
      <c r="I1685" s="1">
        <v>0</v>
      </c>
      <c r="J1685" s="1">
        <v>0</v>
      </c>
      <c r="K1685" s="1">
        <v>0</v>
      </c>
      <c r="L1685" s="2">
        <v>2</v>
      </c>
      <c r="M1685" s="1">
        <f>L1685*3500000</f>
        <v>7000000</v>
      </c>
      <c r="N1685" s="1">
        <v>0</v>
      </c>
      <c r="O1685" s="1">
        <v>0</v>
      </c>
      <c r="P1685" s="1">
        <v>0</v>
      </c>
      <c r="Q1685" s="1">
        <f>1400*P1685</f>
        <v>0</v>
      </c>
      <c r="R1685" s="1">
        <v>0</v>
      </c>
      <c r="S1685" s="1">
        <f t="shared" si="881"/>
        <v>0</v>
      </c>
      <c r="T1685" s="1">
        <v>0</v>
      </c>
      <c r="U1685" s="1">
        <v>200000</v>
      </c>
      <c r="V1685" s="1">
        <v>0</v>
      </c>
      <c r="W1685" s="1">
        <v>0</v>
      </c>
      <c r="X1685" s="1">
        <v>0</v>
      </c>
      <c r="Y1685" s="1">
        <v>0</v>
      </c>
      <c r="Z1685" s="1">
        <v>0</v>
      </c>
      <c r="AA1685" s="1">
        <v>0</v>
      </c>
      <c r="AB1685" s="1">
        <v>0</v>
      </c>
      <c r="AC1685" s="1">
        <v>0</v>
      </c>
      <c r="AD1685" s="1">
        <v>0</v>
      </c>
    </row>
    <row r="1686" spans="1:30" s="20" customFormat="1" ht="35.25" customHeight="1" x14ac:dyDescent="0.25">
      <c r="A1686" s="2">
        <f t="shared" si="878"/>
        <v>1630</v>
      </c>
      <c r="B1686" s="6">
        <f>A1686</f>
        <v>1630</v>
      </c>
      <c r="C1686" s="19" t="s">
        <v>1874</v>
      </c>
      <c r="D1686" s="8">
        <f t="shared" si="875"/>
        <v>7200000</v>
      </c>
      <c r="E1686" s="1">
        <f>SUM(F1686:K1686)</f>
        <v>0</v>
      </c>
      <c r="F1686" s="1">
        <v>0</v>
      </c>
      <c r="G1686" s="1">
        <v>0</v>
      </c>
      <c r="H1686" s="1">
        <v>0</v>
      </c>
      <c r="I1686" s="1">
        <v>0</v>
      </c>
      <c r="J1686" s="1">
        <v>0</v>
      </c>
      <c r="K1686" s="1">
        <v>0</v>
      </c>
      <c r="L1686" s="2">
        <v>2</v>
      </c>
      <c r="M1686" s="1">
        <f>L1686*3500000</f>
        <v>7000000</v>
      </c>
      <c r="N1686" s="1">
        <v>0</v>
      </c>
      <c r="O1686" s="1">
        <v>0</v>
      </c>
      <c r="P1686" s="1">
        <v>0</v>
      </c>
      <c r="Q1686" s="1">
        <f>1400*P1686</f>
        <v>0</v>
      </c>
      <c r="R1686" s="1">
        <v>0</v>
      </c>
      <c r="S1686" s="1">
        <f t="shared" si="881"/>
        <v>0</v>
      </c>
      <c r="T1686" s="1">
        <v>0</v>
      </c>
      <c r="U1686" s="1">
        <v>200000</v>
      </c>
      <c r="V1686" s="1">
        <v>0</v>
      </c>
      <c r="W1686" s="1">
        <v>0</v>
      </c>
      <c r="X1686" s="1">
        <v>0</v>
      </c>
      <c r="Y1686" s="1">
        <v>0</v>
      </c>
      <c r="Z1686" s="1">
        <v>0</v>
      </c>
      <c r="AA1686" s="1">
        <v>0</v>
      </c>
      <c r="AB1686" s="1">
        <v>0</v>
      </c>
      <c r="AC1686" s="1">
        <v>0</v>
      </c>
      <c r="AD1686" s="1">
        <v>0</v>
      </c>
    </row>
    <row r="1687" spans="1:30" s="20" customFormat="1" ht="36" customHeight="1" x14ac:dyDescent="0.25">
      <c r="A1687" s="2">
        <f t="shared" si="878"/>
        <v>1631</v>
      </c>
      <c r="B1687" s="6">
        <f t="shared" si="876"/>
        <v>1631</v>
      </c>
      <c r="C1687" s="19" t="s">
        <v>966</v>
      </c>
      <c r="D1687" s="4">
        <f t="shared" si="875"/>
        <v>32820346.699999996</v>
      </c>
      <c r="E1687" s="1">
        <f t="shared" si="870"/>
        <v>19113572.499999996</v>
      </c>
      <c r="F1687" s="1">
        <f>804*4869.7</f>
        <v>3915238.8</v>
      </c>
      <c r="G1687" s="1">
        <f>1693*4869.7</f>
        <v>8244402.0999999996</v>
      </c>
      <c r="H1687" s="1">
        <f>390*4869.7</f>
        <v>1899183</v>
      </c>
      <c r="I1687" s="1">
        <f>571*4869.7</f>
        <v>2780598.6999999997</v>
      </c>
      <c r="J1687" s="1">
        <f>467*4869.7</f>
        <v>2274149.9</v>
      </c>
      <c r="K1687" s="1">
        <v>0</v>
      </c>
      <c r="L1687" s="2">
        <v>0</v>
      </c>
      <c r="M1687" s="1">
        <v>0</v>
      </c>
      <c r="N1687" s="1">
        <v>1128.4000000000001</v>
      </c>
      <c r="O1687" s="1">
        <f>N1687*4968</f>
        <v>5605891.2000000002</v>
      </c>
      <c r="P1687" s="1">
        <v>0</v>
      </c>
      <c r="Q1687" s="1">
        <f t="shared" si="871"/>
        <v>0</v>
      </c>
      <c r="R1687" s="1">
        <v>2133</v>
      </c>
      <c r="S1687" s="1">
        <f t="shared" si="881"/>
        <v>8000883</v>
      </c>
      <c r="T1687" s="1">
        <v>0</v>
      </c>
      <c r="U1687" s="1">
        <v>50000</v>
      </c>
      <c r="V1687" s="1">
        <v>0</v>
      </c>
      <c r="W1687" s="1">
        <v>50000</v>
      </c>
      <c r="X1687" s="1">
        <v>0</v>
      </c>
      <c r="Y1687" s="1">
        <v>0</v>
      </c>
      <c r="Z1687" s="1">
        <v>0</v>
      </c>
      <c r="AA1687" s="1">
        <v>0</v>
      </c>
      <c r="AB1687" s="1">
        <v>0</v>
      </c>
      <c r="AC1687" s="1">
        <v>0</v>
      </c>
      <c r="AD1687" s="1">
        <v>0</v>
      </c>
    </row>
    <row r="1688" spans="1:30" s="20" customFormat="1" ht="35.25" customHeight="1" x14ac:dyDescent="0.25">
      <c r="A1688" s="2">
        <f t="shared" si="878"/>
        <v>1632</v>
      </c>
      <c r="B1688" s="6">
        <f>A1688</f>
        <v>1632</v>
      </c>
      <c r="C1688" s="19" t="s">
        <v>1875</v>
      </c>
      <c r="D1688" s="8">
        <f t="shared" si="875"/>
        <v>3700000</v>
      </c>
      <c r="E1688" s="1">
        <f>SUM(F1688:K1688)</f>
        <v>0</v>
      </c>
      <c r="F1688" s="1">
        <v>0</v>
      </c>
      <c r="G1688" s="1">
        <v>0</v>
      </c>
      <c r="H1688" s="1">
        <v>0</v>
      </c>
      <c r="I1688" s="1">
        <v>0</v>
      </c>
      <c r="J1688" s="1">
        <v>0</v>
      </c>
      <c r="K1688" s="1">
        <v>0</v>
      </c>
      <c r="L1688" s="2">
        <v>1</v>
      </c>
      <c r="M1688" s="1">
        <f>L1688*3500000</f>
        <v>3500000</v>
      </c>
      <c r="N1688" s="1">
        <v>0</v>
      </c>
      <c r="O1688" s="1">
        <v>0</v>
      </c>
      <c r="P1688" s="1">
        <v>0</v>
      </c>
      <c r="Q1688" s="1">
        <f>1400*P1688</f>
        <v>0</v>
      </c>
      <c r="R1688" s="1">
        <v>0</v>
      </c>
      <c r="S1688" s="1">
        <f>R1688*3751</f>
        <v>0</v>
      </c>
      <c r="T1688" s="1">
        <v>0</v>
      </c>
      <c r="U1688" s="1">
        <v>200000</v>
      </c>
      <c r="V1688" s="1">
        <v>0</v>
      </c>
      <c r="W1688" s="1">
        <v>0</v>
      </c>
      <c r="X1688" s="1">
        <v>0</v>
      </c>
      <c r="Y1688" s="1">
        <v>0</v>
      </c>
      <c r="Z1688" s="1">
        <v>0</v>
      </c>
      <c r="AA1688" s="1">
        <v>0</v>
      </c>
      <c r="AB1688" s="1">
        <v>0</v>
      </c>
      <c r="AC1688" s="1">
        <v>0</v>
      </c>
      <c r="AD1688" s="1">
        <v>0</v>
      </c>
    </row>
    <row r="1689" spans="1:30" s="20" customFormat="1" ht="36" customHeight="1" x14ac:dyDescent="0.25">
      <c r="A1689" s="2">
        <f t="shared" si="878"/>
        <v>1633</v>
      </c>
      <c r="B1689" s="6">
        <f>A1689</f>
        <v>1633</v>
      </c>
      <c r="C1689" s="19" t="s">
        <v>968</v>
      </c>
      <c r="D1689" s="4">
        <f t="shared" si="875"/>
        <v>9458735.25</v>
      </c>
      <c r="E1689" s="1">
        <f>SUM(F1689:K1689)</f>
        <v>9408735.25</v>
      </c>
      <c r="F1689" s="1">
        <f>804*2397.13</f>
        <v>1927292.52</v>
      </c>
      <c r="G1689" s="1">
        <f>1693*2397.13</f>
        <v>4058341.0900000003</v>
      </c>
      <c r="H1689" s="1">
        <f>390*2397.13</f>
        <v>934880.70000000007</v>
      </c>
      <c r="I1689" s="1">
        <f>571*2397.13</f>
        <v>1368761.23</v>
      </c>
      <c r="J1689" s="1">
        <f>467*2397.13</f>
        <v>1119459.71</v>
      </c>
      <c r="K1689" s="1">
        <v>0</v>
      </c>
      <c r="L1689" s="2">
        <v>0</v>
      </c>
      <c r="M1689" s="1">
        <v>0</v>
      </c>
      <c r="N1689" s="1">
        <v>0</v>
      </c>
      <c r="O1689" s="1">
        <v>0</v>
      </c>
      <c r="P1689" s="1">
        <v>0</v>
      </c>
      <c r="Q1689" s="1">
        <f>P1689*1400</f>
        <v>0</v>
      </c>
      <c r="R1689" s="1">
        <v>0</v>
      </c>
      <c r="S1689" s="1">
        <f>R1689*3751</f>
        <v>0</v>
      </c>
      <c r="T1689" s="1">
        <v>0</v>
      </c>
      <c r="U1689" s="1">
        <v>50000</v>
      </c>
      <c r="V1689" s="1">
        <v>0</v>
      </c>
      <c r="W1689" s="1">
        <v>0</v>
      </c>
      <c r="X1689" s="1">
        <v>0</v>
      </c>
      <c r="Y1689" s="1">
        <v>0</v>
      </c>
      <c r="Z1689" s="1">
        <v>0</v>
      </c>
      <c r="AA1689" s="1">
        <v>0</v>
      </c>
      <c r="AB1689" s="1">
        <v>0</v>
      </c>
      <c r="AC1689" s="1">
        <v>0</v>
      </c>
      <c r="AD1689" s="1">
        <v>0</v>
      </c>
    </row>
    <row r="1690" spans="1:30" s="20" customFormat="1" ht="36" customHeight="1" x14ac:dyDescent="0.25">
      <c r="A1690" s="2">
        <f t="shared" si="878"/>
        <v>1634</v>
      </c>
      <c r="B1690" s="6">
        <f t="shared" si="876"/>
        <v>1634</v>
      </c>
      <c r="C1690" s="19" t="s">
        <v>969</v>
      </c>
      <c r="D1690" s="4">
        <f t="shared" si="875"/>
        <v>2882005</v>
      </c>
      <c r="E1690" s="1">
        <f t="shared" si="870"/>
        <v>0</v>
      </c>
      <c r="F1690" s="1">
        <v>0</v>
      </c>
      <c r="G1690" s="1">
        <v>0</v>
      </c>
      <c r="H1690" s="1">
        <v>0</v>
      </c>
      <c r="I1690" s="1">
        <v>0</v>
      </c>
      <c r="J1690" s="1">
        <v>0</v>
      </c>
      <c r="K1690" s="1">
        <v>0</v>
      </c>
      <c r="L1690" s="2">
        <v>0</v>
      </c>
      <c r="M1690" s="1">
        <v>0</v>
      </c>
      <c r="N1690" s="1">
        <v>0</v>
      </c>
      <c r="O1690" s="1">
        <v>0</v>
      </c>
      <c r="P1690" s="1">
        <v>0</v>
      </c>
      <c r="Q1690" s="1">
        <f t="shared" si="871"/>
        <v>0</v>
      </c>
      <c r="R1690" s="1">
        <v>755</v>
      </c>
      <c r="S1690" s="1">
        <f t="shared" ref="S1690:S1709" si="882">R1690*3751</f>
        <v>2832005</v>
      </c>
      <c r="T1690" s="1">
        <v>0</v>
      </c>
      <c r="U1690" s="1">
        <v>0</v>
      </c>
      <c r="V1690" s="1">
        <v>0</v>
      </c>
      <c r="W1690" s="1">
        <v>50000</v>
      </c>
      <c r="X1690" s="1">
        <v>0</v>
      </c>
      <c r="Y1690" s="1">
        <v>0</v>
      </c>
      <c r="Z1690" s="1">
        <v>0</v>
      </c>
      <c r="AA1690" s="1">
        <v>0</v>
      </c>
      <c r="AB1690" s="1">
        <v>0</v>
      </c>
      <c r="AC1690" s="1">
        <v>0</v>
      </c>
      <c r="AD1690" s="1">
        <v>0</v>
      </c>
    </row>
    <row r="1691" spans="1:30" s="20" customFormat="1" ht="35.25" customHeight="1" x14ac:dyDescent="0.25">
      <c r="A1691" s="2">
        <f t="shared" si="878"/>
        <v>1635</v>
      </c>
      <c r="B1691" s="6">
        <f>A1691</f>
        <v>1635</v>
      </c>
      <c r="C1691" s="19" t="s">
        <v>1959</v>
      </c>
      <c r="D1691" s="8">
        <f t="shared" si="875"/>
        <v>14200000</v>
      </c>
      <c r="E1691" s="1">
        <f>SUM(F1691:K1691)</f>
        <v>0</v>
      </c>
      <c r="F1691" s="1">
        <v>0</v>
      </c>
      <c r="G1691" s="1">
        <v>0</v>
      </c>
      <c r="H1691" s="1">
        <v>0</v>
      </c>
      <c r="I1691" s="1">
        <v>0</v>
      </c>
      <c r="J1691" s="1">
        <v>0</v>
      </c>
      <c r="K1691" s="1">
        <v>0</v>
      </c>
      <c r="L1691" s="2">
        <v>4</v>
      </c>
      <c r="M1691" s="1">
        <f>L1691*3500000</f>
        <v>14000000</v>
      </c>
      <c r="N1691" s="1">
        <v>0</v>
      </c>
      <c r="O1691" s="1">
        <v>0</v>
      </c>
      <c r="P1691" s="1">
        <v>0</v>
      </c>
      <c r="Q1691" s="1">
        <f>1400*P1691</f>
        <v>0</v>
      </c>
      <c r="R1691" s="1">
        <v>0</v>
      </c>
      <c r="S1691" s="1">
        <f>R1691*3751</f>
        <v>0</v>
      </c>
      <c r="T1691" s="1">
        <v>0</v>
      </c>
      <c r="U1691" s="1">
        <v>200000</v>
      </c>
      <c r="V1691" s="1">
        <v>0</v>
      </c>
      <c r="W1691" s="1">
        <v>0</v>
      </c>
      <c r="X1691" s="1">
        <v>0</v>
      </c>
      <c r="Y1691" s="1">
        <v>0</v>
      </c>
      <c r="Z1691" s="1">
        <v>0</v>
      </c>
      <c r="AA1691" s="1">
        <v>0</v>
      </c>
      <c r="AB1691" s="1">
        <v>0</v>
      </c>
      <c r="AC1691" s="1">
        <v>0</v>
      </c>
      <c r="AD1691" s="1">
        <v>0</v>
      </c>
    </row>
    <row r="1692" spans="1:30" s="20" customFormat="1" ht="36" customHeight="1" x14ac:dyDescent="0.25">
      <c r="A1692" s="2">
        <f t="shared" si="878"/>
        <v>1636</v>
      </c>
      <c r="B1692" s="6">
        <f t="shared" si="876"/>
        <v>1636</v>
      </c>
      <c r="C1692" s="19" t="s">
        <v>970</v>
      </c>
      <c r="D1692" s="4">
        <f t="shared" si="875"/>
        <v>3887395.52</v>
      </c>
      <c r="E1692" s="1">
        <f t="shared" si="870"/>
        <v>3837395.52</v>
      </c>
      <c r="F1692" s="1">
        <f>804*4772.88</f>
        <v>3837395.52</v>
      </c>
      <c r="G1692" s="1">
        <v>0</v>
      </c>
      <c r="H1692" s="1">
        <v>0</v>
      </c>
      <c r="I1692" s="1">
        <v>0</v>
      </c>
      <c r="J1692" s="1">
        <v>0</v>
      </c>
      <c r="K1692" s="1">
        <v>0</v>
      </c>
      <c r="L1692" s="2">
        <v>0</v>
      </c>
      <c r="M1692" s="1">
        <v>0</v>
      </c>
      <c r="N1692" s="1">
        <v>0</v>
      </c>
      <c r="O1692" s="1">
        <v>0</v>
      </c>
      <c r="P1692" s="1">
        <v>0</v>
      </c>
      <c r="Q1692" s="1">
        <f t="shared" si="871"/>
        <v>0</v>
      </c>
      <c r="R1692" s="1">
        <v>0</v>
      </c>
      <c r="S1692" s="1">
        <f t="shared" si="882"/>
        <v>0</v>
      </c>
      <c r="T1692" s="1">
        <v>0</v>
      </c>
      <c r="U1692" s="1">
        <v>50000</v>
      </c>
      <c r="V1692" s="1">
        <v>0</v>
      </c>
      <c r="W1692" s="1">
        <v>0</v>
      </c>
      <c r="X1692" s="1">
        <v>0</v>
      </c>
      <c r="Y1692" s="1">
        <v>0</v>
      </c>
      <c r="Z1692" s="1">
        <v>0</v>
      </c>
      <c r="AA1692" s="1">
        <v>0</v>
      </c>
      <c r="AB1692" s="1">
        <v>0</v>
      </c>
      <c r="AC1692" s="1">
        <v>0</v>
      </c>
      <c r="AD1692" s="1">
        <v>0</v>
      </c>
    </row>
    <row r="1693" spans="1:30" s="20" customFormat="1" ht="36" customHeight="1" x14ac:dyDescent="0.25">
      <c r="A1693" s="2">
        <f t="shared" si="878"/>
        <v>1637</v>
      </c>
      <c r="B1693" s="6">
        <f t="shared" si="876"/>
        <v>1637</v>
      </c>
      <c r="C1693" s="19" t="s">
        <v>972</v>
      </c>
      <c r="D1693" s="4">
        <f t="shared" si="875"/>
        <v>24025976</v>
      </c>
      <c r="E1693" s="1">
        <f t="shared" si="870"/>
        <v>17924376</v>
      </c>
      <c r="F1693" s="1">
        <f>804*4566.72</f>
        <v>3671642.8800000004</v>
      </c>
      <c r="G1693" s="1">
        <f>1693*4566.72</f>
        <v>7731456.9600000009</v>
      </c>
      <c r="H1693" s="1">
        <f>390*4566.72</f>
        <v>1781020.8</v>
      </c>
      <c r="I1693" s="1">
        <f>571*4566.72</f>
        <v>2607597.12</v>
      </c>
      <c r="J1693" s="1">
        <f>467*4566.72</f>
        <v>2132658.2400000002</v>
      </c>
      <c r="K1693" s="1">
        <v>0</v>
      </c>
      <c r="L1693" s="2">
        <v>0</v>
      </c>
      <c r="M1693" s="1">
        <v>0</v>
      </c>
      <c r="N1693" s="1">
        <v>0</v>
      </c>
      <c r="O1693" s="1">
        <v>0</v>
      </c>
      <c r="P1693" s="1">
        <v>0</v>
      </c>
      <c r="Q1693" s="1">
        <f>P1693*1400</f>
        <v>0</v>
      </c>
      <c r="R1693" s="1">
        <v>1600</v>
      </c>
      <c r="S1693" s="1">
        <f>R1693*3751</f>
        <v>6001600</v>
      </c>
      <c r="T1693" s="1">
        <v>0</v>
      </c>
      <c r="U1693" s="1">
        <v>50000</v>
      </c>
      <c r="V1693" s="1">
        <v>0</v>
      </c>
      <c r="W1693" s="1">
        <v>50000</v>
      </c>
      <c r="X1693" s="1">
        <v>0</v>
      </c>
      <c r="Y1693" s="1">
        <v>0</v>
      </c>
      <c r="Z1693" s="1">
        <v>0</v>
      </c>
      <c r="AA1693" s="1">
        <v>0</v>
      </c>
      <c r="AB1693" s="1">
        <v>0</v>
      </c>
      <c r="AC1693" s="1">
        <v>0</v>
      </c>
      <c r="AD1693" s="1">
        <v>0</v>
      </c>
    </row>
    <row r="1694" spans="1:30" s="20" customFormat="1" ht="36" customHeight="1" x14ac:dyDescent="0.25">
      <c r="A1694" s="2">
        <f t="shared" si="878"/>
        <v>1638</v>
      </c>
      <c r="B1694" s="6">
        <f t="shared" si="876"/>
        <v>1638</v>
      </c>
      <c r="C1694" s="19" t="s">
        <v>973</v>
      </c>
      <c r="D1694" s="4">
        <f t="shared" si="875"/>
        <v>29404056.5</v>
      </c>
      <c r="E1694" s="1">
        <f t="shared" si="870"/>
        <v>20489206.5</v>
      </c>
      <c r="F1694" s="1">
        <f>804*5220.18</f>
        <v>4197024.7200000007</v>
      </c>
      <c r="G1694" s="1">
        <f>1693*5220.18</f>
        <v>8837764.7400000002</v>
      </c>
      <c r="H1694" s="1">
        <f>390*5220.18</f>
        <v>2035870.2000000002</v>
      </c>
      <c r="I1694" s="1">
        <f>571*5220.18</f>
        <v>2980722.7800000003</v>
      </c>
      <c r="J1694" s="1">
        <f>467*5220.18</f>
        <v>2437824.06</v>
      </c>
      <c r="K1694" s="1">
        <v>0</v>
      </c>
      <c r="L1694" s="2">
        <v>0</v>
      </c>
      <c r="M1694" s="1">
        <v>0</v>
      </c>
      <c r="N1694" s="1">
        <v>0</v>
      </c>
      <c r="O1694" s="1">
        <v>0</v>
      </c>
      <c r="P1694" s="1">
        <v>0</v>
      </c>
      <c r="Q1694" s="1">
        <f>P1694*1400</f>
        <v>0</v>
      </c>
      <c r="R1694" s="1">
        <v>2350</v>
      </c>
      <c r="S1694" s="1">
        <f>R1694*3751</f>
        <v>8814850</v>
      </c>
      <c r="T1694" s="1">
        <v>0</v>
      </c>
      <c r="U1694" s="1">
        <v>50000</v>
      </c>
      <c r="V1694" s="1">
        <v>0</v>
      </c>
      <c r="W1694" s="1">
        <v>50000</v>
      </c>
      <c r="X1694" s="1">
        <v>0</v>
      </c>
      <c r="Y1694" s="1">
        <v>0</v>
      </c>
      <c r="Z1694" s="1">
        <v>0</v>
      </c>
      <c r="AA1694" s="1">
        <v>0</v>
      </c>
      <c r="AB1694" s="1">
        <v>0</v>
      </c>
      <c r="AC1694" s="1">
        <v>0</v>
      </c>
      <c r="AD1694" s="1">
        <v>0</v>
      </c>
    </row>
    <row r="1695" spans="1:30" s="20" customFormat="1" ht="36" customHeight="1" x14ac:dyDescent="0.25">
      <c r="A1695" s="2">
        <f t="shared" si="878"/>
        <v>1639</v>
      </c>
      <c r="B1695" s="6">
        <f t="shared" si="876"/>
        <v>1639</v>
      </c>
      <c r="C1695" s="19" t="s">
        <v>975</v>
      </c>
      <c r="D1695" s="4">
        <f t="shared" si="875"/>
        <v>21720771.25</v>
      </c>
      <c r="E1695" s="1">
        <f t="shared" ref="E1695:E1752" si="883">SUM(F1695:K1695)</f>
        <v>16245771.250000002</v>
      </c>
      <c r="F1695" s="1">
        <f>804*4139.05</f>
        <v>3327796.2</v>
      </c>
      <c r="G1695" s="1">
        <f>1693*4139.05</f>
        <v>7007411.6500000004</v>
      </c>
      <c r="H1695" s="1">
        <f>390*4139.05</f>
        <v>1614229.5</v>
      </c>
      <c r="I1695" s="1">
        <f>571*4139.05</f>
        <v>2363397.5500000003</v>
      </c>
      <c r="J1695" s="1">
        <f>467*4139.05</f>
        <v>1932936.35</v>
      </c>
      <c r="K1695" s="1">
        <v>0</v>
      </c>
      <c r="L1695" s="2">
        <v>0</v>
      </c>
      <c r="M1695" s="1">
        <v>0</v>
      </c>
      <c r="N1695" s="1">
        <v>700</v>
      </c>
      <c r="O1695" s="1">
        <f>N1695*7750</f>
        <v>5425000</v>
      </c>
      <c r="P1695" s="1">
        <v>0</v>
      </c>
      <c r="Q1695" s="1">
        <f t="shared" ref="Q1695:Q1745" si="884">P1695*1400</f>
        <v>0</v>
      </c>
      <c r="R1695" s="1">
        <v>0</v>
      </c>
      <c r="S1695" s="1">
        <f t="shared" si="882"/>
        <v>0</v>
      </c>
      <c r="T1695" s="1">
        <v>0</v>
      </c>
      <c r="U1695" s="1">
        <v>50000</v>
      </c>
      <c r="V1695" s="1">
        <v>0</v>
      </c>
      <c r="W1695" s="1">
        <v>0</v>
      </c>
      <c r="X1695" s="1">
        <v>0</v>
      </c>
      <c r="Y1695" s="1">
        <v>0</v>
      </c>
      <c r="Z1695" s="1">
        <v>0</v>
      </c>
      <c r="AA1695" s="1">
        <v>0</v>
      </c>
      <c r="AB1695" s="1">
        <v>0</v>
      </c>
      <c r="AC1695" s="1">
        <v>0</v>
      </c>
      <c r="AD1695" s="1">
        <v>0</v>
      </c>
    </row>
    <row r="1696" spans="1:30" s="20" customFormat="1" ht="36" customHeight="1" x14ac:dyDescent="0.25">
      <c r="A1696" s="2">
        <f t="shared" si="878"/>
        <v>1640</v>
      </c>
      <c r="B1696" s="6">
        <f t="shared" si="876"/>
        <v>1640</v>
      </c>
      <c r="C1696" s="19" t="s">
        <v>976</v>
      </c>
      <c r="D1696" s="4">
        <f t="shared" si="875"/>
        <v>19932412</v>
      </c>
      <c r="E1696" s="1">
        <f t="shared" si="883"/>
        <v>13080612</v>
      </c>
      <c r="F1696" s="1">
        <f>804*3332.64</f>
        <v>2679442.56</v>
      </c>
      <c r="G1696" s="1">
        <f>1693*3332.64</f>
        <v>5642159.5199999996</v>
      </c>
      <c r="H1696" s="1">
        <f>390*3332.64</f>
        <v>1299729.5999999999</v>
      </c>
      <c r="I1696" s="1">
        <f>571*3332.64</f>
        <v>1902937.44</v>
      </c>
      <c r="J1696" s="1">
        <f>467*3332.64</f>
        <v>1556342.88</v>
      </c>
      <c r="K1696" s="1">
        <v>0</v>
      </c>
      <c r="L1696" s="2">
        <v>0</v>
      </c>
      <c r="M1696" s="1">
        <v>0</v>
      </c>
      <c r="N1696" s="1">
        <v>0</v>
      </c>
      <c r="O1696" s="1">
        <v>0</v>
      </c>
      <c r="P1696" s="1">
        <v>0</v>
      </c>
      <c r="Q1696" s="1">
        <f t="shared" si="884"/>
        <v>0</v>
      </c>
      <c r="R1696" s="1">
        <v>1800</v>
      </c>
      <c r="S1696" s="1">
        <f t="shared" ref="S1696:S1700" si="885">R1696*3751</f>
        <v>6751800</v>
      </c>
      <c r="T1696" s="1">
        <v>0</v>
      </c>
      <c r="U1696" s="1">
        <v>50000</v>
      </c>
      <c r="V1696" s="1">
        <v>0</v>
      </c>
      <c r="W1696" s="1">
        <v>50000</v>
      </c>
      <c r="X1696" s="1">
        <v>0</v>
      </c>
      <c r="Y1696" s="1">
        <v>0</v>
      </c>
      <c r="Z1696" s="1">
        <v>0</v>
      </c>
      <c r="AA1696" s="1">
        <v>0</v>
      </c>
      <c r="AB1696" s="1">
        <v>0</v>
      </c>
      <c r="AC1696" s="1">
        <v>0</v>
      </c>
      <c r="AD1696" s="1">
        <v>0</v>
      </c>
    </row>
    <row r="1697" spans="1:30" s="20" customFormat="1" ht="36" customHeight="1" x14ac:dyDescent="0.25">
      <c r="A1697" s="2">
        <f t="shared" si="878"/>
        <v>1641</v>
      </c>
      <c r="B1697" s="6">
        <f t="shared" si="876"/>
        <v>1641</v>
      </c>
      <c r="C1697" s="19" t="s">
        <v>977</v>
      </c>
      <c r="D1697" s="4">
        <f t="shared" si="875"/>
        <v>15114459.5</v>
      </c>
      <c r="E1697" s="1">
        <f t="shared" si="883"/>
        <v>15014459.5</v>
      </c>
      <c r="F1697" s="1">
        <f>804*3825.34</f>
        <v>3075573.3600000003</v>
      </c>
      <c r="G1697" s="1">
        <f>1693*3825.34</f>
        <v>6476300.6200000001</v>
      </c>
      <c r="H1697" s="1">
        <f>390*3825.34</f>
        <v>1491882.6</v>
      </c>
      <c r="I1697" s="1">
        <f>571*3825.34</f>
        <v>2184269.14</v>
      </c>
      <c r="J1697" s="1">
        <f>467*3825.34</f>
        <v>1786433.78</v>
      </c>
      <c r="K1697" s="1">
        <v>0</v>
      </c>
      <c r="L1697" s="2">
        <v>0</v>
      </c>
      <c r="M1697" s="1">
        <v>0</v>
      </c>
      <c r="N1697" s="1">
        <v>0</v>
      </c>
      <c r="O1697" s="1">
        <v>0</v>
      </c>
      <c r="P1697" s="1">
        <v>0</v>
      </c>
      <c r="Q1697" s="1">
        <f t="shared" si="884"/>
        <v>0</v>
      </c>
      <c r="R1697" s="1">
        <v>0</v>
      </c>
      <c r="S1697" s="1">
        <f t="shared" si="885"/>
        <v>0</v>
      </c>
      <c r="T1697" s="1">
        <v>0</v>
      </c>
      <c r="U1697" s="1">
        <v>50000</v>
      </c>
      <c r="V1697" s="1">
        <v>0</v>
      </c>
      <c r="W1697" s="1">
        <v>50000</v>
      </c>
      <c r="X1697" s="1">
        <v>0</v>
      </c>
      <c r="Y1697" s="1">
        <v>0</v>
      </c>
      <c r="Z1697" s="1">
        <v>0</v>
      </c>
      <c r="AA1697" s="1">
        <v>0</v>
      </c>
      <c r="AB1697" s="1">
        <v>0</v>
      </c>
      <c r="AC1697" s="1">
        <v>0</v>
      </c>
      <c r="AD1697" s="1">
        <v>0</v>
      </c>
    </row>
    <row r="1698" spans="1:30" s="20" customFormat="1" ht="36" customHeight="1" x14ac:dyDescent="0.25">
      <c r="A1698" s="2">
        <f t="shared" si="878"/>
        <v>1642</v>
      </c>
      <c r="B1698" s="6">
        <f t="shared" si="876"/>
        <v>1642</v>
      </c>
      <c r="C1698" s="19" t="s">
        <v>978</v>
      </c>
      <c r="D1698" s="4">
        <f t="shared" si="875"/>
        <v>14763760.749999998</v>
      </c>
      <c r="E1698" s="1">
        <f t="shared" si="883"/>
        <v>14663760.749999998</v>
      </c>
      <c r="F1698" s="1">
        <f>804*3735.99</f>
        <v>3003735.96</v>
      </c>
      <c r="G1698" s="1">
        <f>1693*3735.99</f>
        <v>6325031.0699999994</v>
      </c>
      <c r="H1698" s="1">
        <f>390*3735.99</f>
        <v>1457036.0999999999</v>
      </c>
      <c r="I1698" s="1">
        <f>571*3735.99</f>
        <v>2133250.29</v>
      </c>
      <c r="J1698" s="1">
        <f>467*3735.99</f>
        <v>1744707.3299999998</v>
      </c>
      <c r="K1698" s="1">
        <v>0</v>
      </c>
      <c r="L1698" s="2">
        <v>0</v>
      </c>
      <c r="M1698" s="1">
        <v>0</v>
      </c>
      <c r="N1698" s="1">
        <v>0</v>
      </c>
      <c r="O1698" s="1">
        <v>0</v>
      </c>
      <c r="P1698" s="1">
        <v>0</v>
      </c>
      <c r="Q1698" s="1">
        <f t="shared" si="884"/>
        <v>0</v>
      </c>
      <c r="R1698" s="1">
        <v>0</v>
      </c>
      <c r="S1698" s="1">
        <f t="shared" si="885"/>
        <v>0</v>
      </c>
      <c r="T1698" s="1">
        <v>0</v>
      </c>
      <c r="U1698" s="1">
        <v>50000</v>
      </c>
      <c r="V1698" s="1">
        <v>0</v>
      </c>
      <c r="W1698" s="1">
        <v>50000</v>
      </c>
      <c r="X1698" s="1">
        <v>0</v>
      </c>
      <c r="Y1698" s="1">
        <v>0</v>
      </c>
      <c r="Z1698" s="1">
        <v>0</v>
      </c>
      <c r="AA1698" s="1">
        <v>0</v>
      </c>
      <c r="AB1698" s="1">
        <v>0</v>
      </c>
      <c r="AC1698" s="1">
        <v>0</v>
      </c>
      <c r="AD1698" s="1">
        <v>0</v>
      </c>
    </row>
    <row r="1699" spans="1:30" s="20" customFormat="1" ht="36" customHeight="1" x14ac:dyDescent="0.25">
      <c r="A1699" s="2">
        <f t="shared" si="878"/>
        <v>1643</v>
      </c>
      <c r="B1699" s="6">
        <f t="shared" si="876"/>
        <v>1643</v>
      </c>
      <c r="C1699" s="19" t="s">
        <v>979</v>
      </c>
      <c r="D1699" s="4">
        <f t="shared" si="875"/>
        <v>48450037.75</v>
      </c>
      <c r="E1699" s="1">
        <f t="shared" si="883"/>
        <v>29627587.75</v>
      </c>
      <c r="F1699" s="1">
        <f>804*7548.43</f>
        <v>6068937.7200000007</v>
      </c>
      <c r="G1699" s="1">
        <f>1693*7548.43</f>
        <v>12779491.99</v>
      </c>
      <c r="H1699" s="1">
        <f>390*7548.43</f>
        <v>2943887.7</v>
      </c>
      <c r="I1699" s="1">
        <f>571*7548.43</f>
        <v>4310153.53</v>
      </c>
      <c r="J1699" s="1">
        <f>467*7548.43</f>
        <v>3525116.81</v>
      </c>
      <c r="K1699" s="1">
        <v>0</v>
      </c>
      <c r="L1699" s="2">
        <v>0</v>
      </c>
      <c r="M1699" s="1">
        <v>0</v>
      </c>
      <c r="N1699" s="1">
        <v>1230</v>
      </c>
      <c r="O1699" s="1">
        <f>N1699*7750</f>
        <v>9532500</v>
      </c>
      <c r="P1699" s="1">
        <v>0</v>
      </c>
      <c r="Q1699" s="1">
        <f t="shared" si="884"/>
        <v>0</v>
      </c>
      <c r="R1699" s="1">
        <v>2450</v>
      </c>
      <c r="S1699" s="1">
        <f t="shared" si="885"/>
        <v>9189950</v>
      </c>
      <c r="T1699" s="1">
        <v>0</v>
      </c>
      <c r="U1699" s="1">
        <v>50000</v>
      </c>
      <c r="V1699" s="1">
        <v>0</v>
      </c>
      <c r="W1699" s="1">
        <v>50000</v>
      </c>
      <c r="X1699" s="1">
        <v>0</v>
      </c>
      <c r="Y1699" s="1">
        <v>0</v>
      </c>
      <c r="Z1699" s="1">
        <v>0</v>
      </c>
      <c r="AA1699" s="1">
        <v>0</v>
      </c>
      <c r="AB1699" s="1">
        <v>0</v>
      </c>
      <c r="AC1699" s="1">
        <v>0</v>
      </c>
      <c r="AD1699" s="1">
        <v>0</v>
      </c>
    </row>
    <row r="1700" spans="1:30" s="20" customFormat="1" ht="36" customHeight="1" x14ac:dyDescent="0.25">
      <c r="A1700" s="2">
        <f t="shared" si="878"/>
        <v>1644</v>
      </c>
      <c r="B1700" s="6">
        <f t="shared" si="876"/>
        <v>1644</v>
      </c>
      <c r="C1700" s="19" t="s">
        <v>981</v>
      </c>
      <c r="D1700" s="4">
        <f t="shared" si="875"/>
        <v>31115892.5</v>
      </c>
      <c r="E1700" s="1">
        <f t="shared" si="883"/>
        <v>22388592.5</v>
      </c>
      <c r="F1700" s="1">
        <f>804*5704.1</f>
        <v>4586096.4000000004</v>
      </c>
      <c r="G1700" s="1">
        <f>1693*5704.1</f>
        <v>9657041.3000000007</v>
      </c>
      <c r="H1700" s="1">
        <f>390*5704.1</f>
        <v>2224599</v>
      </c>
      <c r="I1700" s="1">
        <f>571*5704.1</f>
        <v>3257041.1</v>
      </c>
      <c r="J1700" s="1">
        <f>467*5704.1</f>
        <v>2663814.7000000002</v>
      </c>
      <c r="K1700" s="1">
        <v>0</v>
      </c>
      <c r="L1700" s="2">
        <v>0</v>
      </c>
      <c r="M1700" s="1">
        <v>0</v>
      </c>
      <c r="N1700" s="1">
        <v>0</v>
      </c>
      <c r="O1700" s="1">
        <v>0</v>
      </c>
      <c r="P1700" s="1">
        <v>0</v>
      </c>
      <c r="Q1700" s="1">
        <f>P1700*1400</f>
        <v>0</v>
      </c>
      <c r="R1700" s="1">
        <v>2300</v>
      </c>
      <c r="S1700" s="1">
        <f t="shared" si="885"/>
        <v>8627300</v>
      </c>
      <c r="T1700" s="1">
        <v>0</v>
      </c>
      <c r="U1700" s="1">
        <v>50000</v>
      </c>
      <c r="V1700" s="1">
        <v>0</v>
      </c>
      <c r="W1700" s="1">
        <v>50000</v>
      </c>
      <c r="X1700" s="1">
        <v>0</v>
      </c>
      <c r="Y1700" s="1">
        <v>0</v>
      </c>
      <c r="Z1700" s="1">
        <v>0</v>
      </c>
      <c r="AA1700" s="1">
        <v>0</v>
      </c>
      <c r="AB1700" s="1">
        <v>0</v>
      </c>
      <c r="AC1700" s="1">
        <v>0</v>
      </c>
      <c r="AD1700" s="1">
        <v>0</v>
      </c>
    </row>
    <row r="1701" spans="1:30" s="20" customFormat="1" ht="36" customHeight="1" x14ac:dyDescent="0.25">
      <c r="A1701" s="2">
        <f t="shared" si="878"/>
        <v>1645</v>
      </c>
      <c r="B1701" s="6">
        <f t="shared" si="876"/>
        <v>1645</v>
      </c>
      <c r="C1701" s="19" t="s">
        <v>982</v>
      </c>
      <c r="D1701" s="4">
        <f t="shared" si="875"/>
        <v>29125721.250000004</v>
      </c>
      <c r="E1701" s="1">
        <f t="shared" si="883"/>
        <v>20398421.250000004</v>
      </c>
      <c r="F1701" s="1">
        <f>804*5197.05</f>
        <v>4178428.2</v>
      </c>
      <c r="G1701" s="1">
        <f>1693*5197.05</f>
        <v>8798605.6500000004</v>
      </c>
      <c r="H1701" s="1">
        <f>390*5197.05</f>
        <v>2026849.5</v>
      </c>
      <c r="I1701" s="1">
        <f>571*5197.05</f>
        <v>2967515.5500000003</v>
      </c>
      <c r="J1701" s="1">
        <f>467*5197.05</f>
        <v>2427022.35</v>
      </c>
      <c r="K1701" s="1">
        <v>0</v>
      </c>
      <c r="L1701" s="2">
        <v>0</v>
      </c>
      <c r="M1701" s="1">
        <v>0</v>
      </c>
      <c r="N1701" s="1">
        <v>0</v>
      </c>
      <c r="O1701" s="1">
        <v>0</v>
      </c>
      <c r="P1701" s="1">
        <v>0</v>
      </c>
      <c r="Q1701" s="1">
        <f t="shared" si="884"/>
        <v>0</v>
      </c>
      <c r="R1701" s="1">
        <v>2300</v>
      </c>
      <c r="S1701" s="1">
        <f t="shared" si="882"/>
        <v>8627300</v>
      </c>
      <c r="T1701" s="1">
        <v>0</v>
      </c>
      <c r="U1701" s="1">
        <v>50000</v>
      </c>
      <c r="V1701" s="1">
        <v>0</v>
      </c>
      <c r="W1701" s="1">
        <v>50000</v>
      </c>
      <c r="X1701" s="1">
        <v>0</v>
      </c>
      <c r="Y1701" s="1">
        <v>0</v>
      </c>
      <c r="Z1701" s="1">
        <v>0</v>
      </c>
      <c r="AA1701" s="1">
        <v>0</v>
      </c>
      <c r="AB1701" s="1">
        <v>0</v>
      </c>
      <c r="AC1701" s="1">
        <v>0</v>
      </c>
      <c r="AD1701" s="1">
        <v>0</v>
      </c>
    </row>
    <row r="1702" spans="1:30" s="20" customFormat="1" ht="36" customHeight="1" x14ac:dyDescent="0.25">
      <c r="A1702" s="2">
        <f t="shared" si="878"/>
        <v>1646</v>
      </c>
      <c r="B1702" s="6">
        <f t="shared" si="876"/>
        <v>1646</v>
      </c>
      <c r="C1702" s="19" t="s">
        <v>985</v>
      </c>
      <c r="D1702" s="4">
        <f t="shared" si="875"/>
        <v>22156100</v>
      </c>
      <c r="E1702" s="1">
        <f t="shared" si="883"/>
        <v>9824275</v>
      </c>
      <c r="F1702" s="1">
        <f>804*2503</f>
        <v>2012412</v>
      </c>
      <c r="G1702" s="1">
        <f>1693*2503</f>
        <v>4237579</v>
      </c>
      <c r="H1702" s="1">
        <f>390*2503</f>
        <v>976170</v>
      </c>
      <c r="I1702" s="1">
        <f>571*2503</f>
        <v>1429213</v>
      </c>
      <c r="J1702" s="1">
        <f>467*2503</f>
        <v>1168901</v>
      </c>
      <c r="K1702" s="1">
        <v>0</v>
      </c>
      <c r="L1702" s="2">
        <v>0</v>
      </c>
      <c r="M1702" s="1">
        <v>0</v>
      </c>
      <c r="N1702" s="1">
        <v>876.5</v>
      </c>
      <c r="O1702" s="1">
        <f>N1702*7750</f>
        <v>6792875</v>
      </c>
      <c r="P1702" s="1">
        <v>0</v>
      </c>
      <c r="Q1702" s="1">
        <f>P1702*1400</f>
        <v>0</v>
      </c>
      <c r="R1702" s="1">
        <v>1450</v>
      </c>
      <c r="S1702" s="1">
        <f>R1702*3751</f>
        <v>5438950</v>
      </c>
      <c r="T1702" s="1">
        <v>0</v>
      </c>
      <c r="U1702" s="1">
        <v>50000</v>
      </c>
      <c r="V1702" s="1">
        <v>0</v>
      </c>
      <c r="W1702" s="1">
        <v>50000</v>
      </c>
      <c r="X1702" s="1">
        <v>0</v>
      </c>
      <c r="Y1702" s="1">
        <v>0</v>
      </c>
      <c r="Z1702" s="1">
        <v>0</v>
      </c>
      <c r="AA1702" s="1">
        <v>0</v>
      </c>
      <c r="AB1702" s="1">
        <v>0</v>
      </c>
      <c r="AC1702" s="1">
        <v>0</v>
      </c>
      <c r="AD1702" s="1">
        <v>0</v>
      </c>
    </row>
    <row r="1703" spans="1:30" s="20" customFormat="1" ht="35.25" customHeight="1" x14ac:dyDescent="0.25">
      <c r="A1703" s="2">
        <f t="shared" si="878"/>
        <v>1647</v>
      </c>
      <c r="B1703" s="6">
        <f>A1703</f>
        <v>1647</v>
      </c>
      <c r="C1703" s="19" t="s">
        <v>1876</v>
      </c>
      <c r="D1703" s="8">
        <f t="shared" si="875"/>
        <v>17700000</v>
      </c>
      <c r="E1703" s="1">
        <f>SUM(F1703:K1703)</f>
        <v>0</v>
      </c>
      <c r="F1703" s="1">
        <v>0</v>
      </c>
      <c r="G1703" s="1">
        <v>0</v>
      </c>
      <c r="H1703" s="1">
        <v>0</v>
      </c>
      <c r="I1703" s="1">
        <v>0</v>
      </c>
      <c r="J1703" s="1">
        <v>0</v>
      </c>
      <c r="K1703" s="1">
        <v>0</v>
      </c>
      <c r="L1703" s="2">
        <v>5</v>
      </c>
      <c r="M1703" s="1">
        <f>L1703*3500000</f>
        <v>17500000</v>
      </c>
      <c r="N1703" s="1">
        <v>0</v>
      </c>
      <c r="O1703" s="1">
        <v>0</v>
      </c>
      <c r="P1703" s="1">
        <v>0</v>
      </c>
      <c r="Q1703" s="1">
        <f>1400*P1703</f>
        <v>0</v>
      </c>
      <c r="R1703" s="1">
        <v>0</v>
      </c>
      <c r="S1703" s="1">
        <f>R1703*3751</f>
        <v>0</v>
      </c>
      <c r="T1703" s="1">
        <v>0</v>
      </c>
      <c r="U1703" s="1">
        <v>200000</v>
      </c>
      <c r="V1703" s="1">
        <v>0</v>
      </c>
      <c r="W1703" s="1">
        <v>0</v>
      </c>
      <c r="X1703" s="1">
        <v>0</v>
      </c>
      <c r="Y1703" s="1">
        <v>0</v>
      </c>
      <c r="Z1703" s="1">
        <v>0</v>
      </c>
      <c r="AA1703" s="1">
        <v>0</v>
      </c>
      <c r="AB1703" s="1">
        <v>0</v>
      </c>
      <c r="AC1703" s="1">
        <v>0</v>
      </c>
      <c r="AD1703" s="1">
        <v>0</v>
      </c>
    </row>
    <row r="1704" spans="1:30" s="20" customFormat="1" ht="35.25" customHeight="1" x14ac:dyDescent="0.25">
      <c r="A1704" s="2">
        <f t="shared" si="878"/>
        <v>1648</v>
      </c>
      <c r="B1704" s="6">
        <f>A1704</f>
        <v>1648</v>
      </c>
      <c r="C1704" s="19" t="s">
        <v>1877</v>
      </c>
      <c r="D1704" s="8">
        <f t="shared" si="875"/>
        <v>14200000</v>
      </c>
      <c r="E1704" s="1">
        <f>SUM(F1704:K1704)</f>
        <v>0</v>
      </c>
      <c r="F1704" s="1">
        <v>0</v>
      </c>
      <c r="G1704" s="1">
        <v>0</v>
      </c>
      <c r="H1704" s="1">
        <v>0</v>
      </c>
      <c r="I1704" s="1">
        <v>0</v>
      </c>
      <c r="J1704" s="1">
        <v>0</v>
      </c>
      <c r="K1704" s="1">
        <v>0</v>
      </c>
      <c r="L1704" s="2">
        <v>4</v>
      </c>
      <c r="M1704" s="1">
        <f>L1704*3500000</f>
        <v>14000000</v>
      </c>
      <c r="N1704" s="1">
        <v>0</v>
      </c>
      <c r="O1704" s="1">
        <v>0</v>
      </c>
      <c r="P1704" s="1">
        <v>0</v>
      </c>
      <c r="Q1704" s="1">
        <f>1400*P1704</f>
        <v>0</v>
      </c>
      <c r="R1704" s="1">
        <v>0</v>
      </c>
      <c r="S1704" s="1">
        <f>R1704*3751</f>
        <v>0</v>
      </c>
      <c r="T1704" s="1">
        <v>0</v>
      </c>
      <c r="U1704" s="1">
        <v>200000</v>
      </c>
      <c r="V1704" s="1">
        <v>0</v>
      </c>
      <c r="W1704" s="1">
        <v>0</v>
      </c>
      <c r="X1704" s="1">
        <v>0</v>
      </c>
      <c r="Y1704" s="1">
        <v>0</v>
      </c>
      <c r="Z1704" s="1">
        <v>0</v>
      </c>
      <c r="AA1704" s="1">
        <v>0</v>
      </c>
      <c r="AB1704" s="1">
        <v>0</v>
      </c>
      <c r="AC1704" s="1">
        <v>0</v>
      </c>
      <c r="AD1704" s="1">
        <v>0</v>
      </c>
    </row>
    <row r="1705" spans="1:30" s="20" customFormat="1" ht="36" customHeight="1" x14ac:dyDescent="0.25">
      <c r="A1705" s="2">
        <f t="shared" si="878"/>
        <v>1649</v>
      </c>
      <c r="B1705" s="6">
        <f t="shared" si="876"/>
        <v>1649</v>
      </c>
      <c r="C1705" s="19" t="s">
        <v>1840</v>
      </c>
      <c r="D1705" s="4">
        <f t="shared" si="875"/>
        <v>2310795.5</v>
      </c>
      <c r="E1705" s="1">
        <f t="shared" si="883"/>
        <v>2210795.5</v>
      </c>
      <c r="F1705" s="1">
        <f>804*563.26</f>
        <v>452861.04</v>
      </c>
      <c r="G1705" s="1">
        <f>1693*563.26</f>
        <v>953599.17999999993</v>
      </c>
      <c r="H1705" s="1">
        <f>390*563.26</f>
        <v>219671.4</v>
      </c>
      <c r="I1705" s="1">
        <f>571*563.26</f>
        <v>321621.46000000002</v>
      </c>
      <c r="J1705" s="1">
        <f>467*563.26</f>
        <v>263042.42</v>
      </c>
      <c r="K1705" s="1">
        <v>0</v>
      </c>
      <c r="L1705" s="2">
        <v>0</v>
      </c>
      <c r="M1705" s="1">
        <v>0</v>
      </c>
      <c r="N1705" s="1">
        <v>0</v>
      </c>
      <c r="O1705" s="1">
        <v>0</v>
      </c>
      <c r="P1705" s="1">
        <v>0</v>
      </c>
      <c r="Q1705" s="1">
        <f t="shared" si="884"/>
        <v>0</v>
      </c>
      <c r="R1705" s="1">
        <v>0</v>
      </c>
      <c r="S1705" s="1">
        <f t="shared" si="882"/>
        <v>0</v>
      </c>
      <c r="T1705" s="1">
        <v>0</v>
      </c>
      <c r="U1705" s="1">
        <v>50000</v>
      </c>
      <c r="V1705" s="1">
        <v>0</v>
      </c>
      <c r="W1705" s="1">
        <v>50000</v>
      </c>
      <c r="X1705" s="1">
        <v>0</v>
      </c>
      <c r="Y1705" s="1">
        <v>0</v>
      </c>
      <c r="Z1705" s="1">
        <v>0</v>
      </c>
      <c r="AA1705" s="1">
        <v>0</v>
      </c>
      <c r="AB1705" s="1">
        <v>0</v>
      </c>
      <c r="AC1705" s="1">
        <v>0</v>
      </c>
      <c r="AD1705" s="1">
        <v>0</v>
      </c>
    </row>
    <row r="1706" spans="1:30" s="20" customFormat="1" ht="36" customHeight="1" x14ac:dyDescent="0.25">
      <c r="A1706" s="2">
        <f t="shared" si="878"/>
        <v>1650</v>
      </c>
      <c r="B1706" s="6">
        <f t="shared" si="876"/>
        <v>1650</v>
      </c>
      <c r="C1706" s="19" t="s">
        <v>986</v>
      </c>
      <c r="D1706" s="4">
        <f t="shared" si="875"/>
        <v>8627300</v>
      </c>
      <c r="E1706" s="1">
        <f t="shared" si="883"/>
        <v>0</v>
      </c>
      <c r="F1706" s="1">
        <v>0</v>
      </c>
      <c r="G1706" s="1">
        <v>0</v>
      </c>
      <c r="H1706" s="1">
        <v>0</v>
      </c>
      <c r="I1706" s="1">
        <v>0</v>
      </c>
      <c r="J1706" s="1">
        <v>0</v>
      </c>
      <c r="K1706" s="1">
        <v>0</v>
      </c>
      <c r="L1706" s="2">
        <v>0</v>
      </c>
      <c r="M1706" s="1">
        <v>0</v>
      </c>
      <c r="N1706" s="1">
        <v>0</v>
      </c>
      <c r="O1706" s="1">
        <v>0</v>
      </c>
      <c r="P1706" s="1">
        <v>0</v>
      </c>
      <c r="Q1706" s="1">
        <f t="shared" si="884"/>
        <v>0</v>
      </c>
      <c r="R1706" s="1">
        <v>2300</v>
      </c>
      <c r="S1706" s="1">
        <f t="shared" si="882"/>
        <v>8627300</v>
      </c>
      <c r="T1706" s="1">
        <v>0</v>
      </c>
      <c r="U1706" s="1">
        <v>0</v>
      </c>
      <c r="V1706" s="1">
        <v>0</v>
      </c>
      <c r="W1706" s="1">
        <v>0</v>
      </c>
      <c r="X1706" s="1">
        <v>0</v>
      </c>
      <c r="Y1706" s="1">
        <v>0</v>
      </c>
      <c r="Z1706" s="1">
        <v>0</v>
      </c>
      <c r="AA1706" s="1">
        <v>0</v>
      </c>
      <c r="AB1706" s="1">
        <v>0</v>
      </c>
      <c r="AC1706" s="1">
        <v>0</v>
      </c>
      <c r="AD1706" s="1">
        <v>0</v>
      </c>
    </row>
    <row r="1707" spans="1:30" s="20" customFormat="1" ht="36" customHeight="1" x14ac:dyDescent="0.25">
      <c r="A1707" s="2">
        <f t="shared" si="878"/>
        <v>1651</v>
      </c>
      <c r="B1707" s="6">
        <f t="shared" si="876"/>
        <v>1651</v>
      </c>
      <c r="C1707" s="19" t="s">
        <v>987</v>
      </c>
      <c r="D1707" s="4">
        <f t="shared" si="875"/>
        <v>30676174.75</v>
      </c>
      <c r="E1707" s="1">
        <f t="shared" si="883"/>
        <v>21948874.75</v>
      </c>
      <c r="F1707" s="1">
        <f>804*5592.07</f>
        <v>4496024.2799999993</v>
      </c>
      <c r="G1707" s="1">
        <f>1693*5592.07</f>
        <v>9467374.5099999998</v>
      </c>
      <c r="H1707" s="1">
        <f>390*5592.07</f>
        <v>2180907.2999999998</v>
      </c>
      <c r="I1707" s="1">
        <f>571*5592.07</f>
        <v>3193071.9699999997</v>
      </c>
      <c r="J1707" s="1">
        <f>467*5592.07</f>
        <v>2611496.69</v>
      </c>
      <c r="K1707" s="1">
        <v>0</v>
      </c>
      <c r="L1707" s="2">
        <v>0</v>
      </c>
      <c r="M1707" s="1">
        <v>0</v>
      </c>
      <c r="N1707" s="1">
        <v>0</v>
      </c>
      <c r="O1707" s="1">
        <v>0</v>
      </c>
      <c r="P1707" s="1">
        <v>0</v>
      </c>
      <c r="Q1707" s="1">
        <f t="shared" si="884"/>
        <v>0</v>
      </c>
      <c r="R1707" s="1">
        <v>2300</v>
      </c>
      <c r="S1707" s="1">
        <f t="shared" si="882"/>
        <v>8627300</v>
      </c>
      <c r="T1707" s="1">
        <v>0</v>
      </c>
      <c r="U1707" s="1">
        <v>50000</v>
      </c>
      <c r="V1707" s="1">
        <v>0</v>
      </c>
      <c r="W1707" s="1">
        <v>50000</v>
      </c>
      <c r="X1707" s="1">
        <v>0</v>
      </c>
      <c r="Y1707" s="1">
        <v>0</v>
      </c>
      <c r="Z1707" s="1">
        <v>0</v>
      </c>
      <c r="AA1707" s="1">
        <v>0</v>
      </c>
      <c r="AB1707" s="1">
        <v>0</v>
      </c>
      <c r="AC1707" s="1">
        <v>0</v>
      </c>
      <c r="AD1707" s="1">
        <v>0</v>
      </c>
    </row>
    <row r="1708" spans="1:30" s="20" customFormat="1" ht="36" customHeight="1" x14ac:dyDescent="0.25">
      <c r="A1708" s="2">
        <f t="shared" si="878"/>
        <v>1652</v>
      </c>
      <c r="B1708" s="6">
        <f t="shared" si="876"/>
        <v>1652</v>
      </c>
      <c r="C1708" s="30" t="s">
        <v>2518</v>
      </c>
      <c r="D1708" s="4">
        <f t="shared" si="875"/>
        <v>37840296.5</v>
      </c>
      <c r="E1708" s="1">
        <f t="shared" si="883"/>
        <v>20335346.499999996</v>
      </c>
      <c r="F1708" s="1">
        <f>804*5180.98</f>
        <v>4165507.9199999995</v>
      </c>
      <c r="G1708" s="1">
        <f>1693*5180.98</f>
        <v>8771399.1399999987</v>
      </c>
      <c r="H1708" s="1">
        <f>390*5180.98</f>
        <v>2020582.1999999997</v>
      </c>
      <c r="I1708" s="1">
        <f>571*5180.98</f>
        <v>2958339.5799999996</v>
      </c>
      <c r="J1708" s="1">
        <f>467*5180.98</f>
        <v>2419517.6599999997</v>
      </c>
      <c r="K1708" s="1">
        <v>0</v>
      </c>
      <c r="L1708" s="2">
        <v>0</v>
      </c>
      <c r="M1708" s="1">
        <v>0</v>
      </c>
      <c r="N1708" s="1">
        <v>1132.5999999999999</v>
      </c>
      <c r="O1708" s="1">
        <f>N1708*7750</f>
        <v>8777650</v>
      </c>
      <c r="P1708" s="1">
        <v>0</v>
      </c>
      <c r="Q1708" s="1">
        <f t="shared" si="884"/>
        <v>0</v>
      </c>
      <c r="R1708" s="1">
        <v>2300</v>
      </c>
      <c r="S1708" s="1">
        <f t="shared" si="882"/>
        <v>8627300</v>
      </c>
      <c r="T1708" s="1">
        <v>0</v>
      </c>
      <c r="U1708" s="1">
        <v>50000</v>
      </c>
      <c r="V1708" s="1">
        <v>0</v>
      </c>
      <c r="W1708" s="1">
        <v>50000</v>
      </c>
      <c r="X1708" s="1">
        <v>0</v>
      </c>
      <c r="Y1708" s="1">
        <v>0</v>
      </c>
      <c r="Z1708" s="1">
        <v>0</v>
      </c>
      <c r="AA1708" s="1">
        <v>0</v>
      </c>
      <c r="AB1708" s="1">
        <v>0</v>
      </c>
      <c r="AC1708" s="1">
        <v>0</v>
      </c>
      <c r="AD1708" s="1">
        <v>0</v>
      </c>
    </row>
    <row r="1709" spans="1:30" s="20" customFormat="1" ht="36" customHeight="1" x14ac:dyDescent="0.25">
      <c r="A1709" s="2">
        <f t="shared" si="878"/>
        <v>1653</v>
      </c>
      <c r="B1709" s="6">
        <f t="shared" si="876"/>
        <v>1653</v>
      </c>
      <c r="C1709" s="19" t="s">
        <v>2519</v>
      </c>
      <c r="D1709" s="4">
        <f t="shared" si="875"/>
        <v>49861834.25</v>
      </c>
      <c r="E1709" s="1">
        <f t="shared" si="883"/>
        <v>28344034.249999996</v>
      </c>
      <c r="F1709" s="1">
        <f>804*7221.41</f>
        <v>5806013.6399999997</v>
      </c>
      <c r="G1709" s="1">
        <f>1693*7221.41</f>
        <v>12225847.129999999</v>
      </c>
      <c r="H1709" s="1">
        <f>390*7221.41</f>
        <v>2816349.9</v>
      </c>
      <c r="I1709" s="1">
        <f>571*7221.41</f>
        <v>4123425.11</v>
      </c>
      <c r="J1709" s="1">
        <f>467*7221.41</f>
        <v>3372398.4699999997</v>
      </c>
      <c r="K1709" s="1">
        <v>0</v>
      </c>
      <c r="L1709" s="2">
        <v>0</v>
      </c>
      <c r="M1709" s="1">
        <f>L1709*3500000</f>
        <v>0</v>
      </c>
      <c r="N1709" s="1">
        <v>1622</v>
      </c>
      <c r="O1709" s="1">
        <f>N1709*7750</f>
        <v>12570500</v>
      </c>
      <c r="P1709" s="1">
        <v>50</v>
      </c>
      <c r="Q1709" s="1">
        <f t="shared" si="884"/>
        <v>70000</v>
      </c>
      <c r="R1709" s="1">
        <v>2300</v>
      </c>
      <c r="S1709" s="1">
        <f t="shared" si="882"/>
        <v>8627300</v>
      </c>
      <c r="T1709" s="1">
        <v>150000</v>
      </c>
      <c r="U1709" s="1">
        <v>50000</v>
      </c>
      <c r="V1709" s="1">
        <v>0</v>
      </c>
      <c r="W1709" s="1">
        <v>50000</v>
      </c>
      <c r="X1709" s="1">
        <v>0</v>
      </c>
      <c r="Y1709" s="1">
        <v>0</v>
      </c>
      <c r="Z1709" s="1">
        <v>0</v>
      </c>
      <c r="AA1709" s="1">
        <v>0</v>
      </c>
      <c r="AB1709" s="1">
        <v>0</v>
      </c>
      <c r="AC1709" s="1">
        <v>0</v>
      </c>
      <c r="AD1709" s="1">
        <v>0</v>
      </c>
    </row>
    <row r="1710" spans="1:30" s="20" customFormat="1" ht="36" customHeight="1" x14ac:dyDescent="0.25">
      <c r="A1710" s="2">
        <f t="shared" si="878"/>
        <v>1654</v>
      </c>
      <c r="B1710" s="6">
        <f t="shared" si="876"/>
        <v>1654</v>
      </c>
      <c r="C1710" s="30" t="s">
        <v>2520</v>
      </c>
      <c r="D1710" s="4">
        <f t="shared" si="875"/>
        <v>6921767.75</v>
      </c>
      <c r="E1710" s="1">
        <f t="shared" si="883"/>
        <v>6821767.75</v>
      </c>
      <c r="F1710" s="1">
        <f>804*1738.03</f>
        <v>1397376.1199999999</v>
      </c>
      <c r="G1710" s="1">
        <f>1693*1738.03</f>
        <v>2942484.79</v>
      </c>
      <c r="H1710" s="1">
        <f>390*1738.03</f>
        <v>677831.7</v>
      </c>
      <c r="I1710" s="1">
        <f>571*1738.03</f>
        <v>992415.13</v>
      </c>
      <c r="J1710" s="1">
        <f>467*1738.03</f>
        <v>811660.01</v>
      </c>
      <c r="K1710" s="1">
        <v>0</v>
      </c>
      <c r="L1710" s="2">
        <v>0</v>
      </c>
      <c r="M1710" s="1">
        <v>0</v>
      </c>
      <c r="N1710" s="1">
        <v>0</v>
      </c>
      <c r="O1710" s="1">
        <v>0</v>
      </c>
      <c r="P1710" s="1">
        <v>0</v>
      </c>
      <c r="Q1710" s="1">
        <f t="shared" si="884"/>
        <v>0</v>
      </c>
      <c r="R1710" s="1">
        <v>0</v>
      </c>
      <c r="S1710" s="1">
        <f t="shared" ref="S1710:S1739" si="886">R1710*3751</f>
        <v>0</v>
      </c>
      <c r="T1710" s="1">
        <v>0</v>
      </c>
      <c r="U1710" s="1">
        <v>50000</v>
      </c>
      <c r="V1710" s="1">
        <v>0</v>
      </c>
      <c r="W1710" s="1">
        <v>50000</v>
      </c>
      <c r="X1710" s="1">
        <v>0</v>
      </c>
      <c r="Y1710" s="1">
        <v>0</v>
      </c>
      <c r="Z1710" s="1">
        <v>0</v>
      </c>
      <c r="AA1710" s="1">
        <v>0</v>
      </c>
      <c r="AB1710" s="1">
        <v>0</v>
      </c>
      <c r="AC1710" s="1">
        <v>0</v>
      </c>
      <c r="AD1710" s="1">
        <v>0</v>
      </c>
    </row>
    <row r="1711" spans="1:30" s="20" customFormat="1" ht="36" customHeight="1" x14ac:dyDescent="0.25">
      <c r="A1711" s="2">
        <f t="shared" si="878"/>
        <v>1655</v>
      </c>
      <c r="B1711" s="6">
        <f t="shared" si="876"/>
        <v>1655</v>
      </c>
      <c r="C1711" s="19" t="s">
        <v>989</v>
      </c>
      <c r="D1711" s="4">
        <f t="shared" si="875"/>
        <v>23355576.5</v>
      </c>
      <c r="E1711" s="1">
        <f t="shared" si="883"/>
        <v>14129136.5</v>
      </c>
      <c r="F1711" s="1">
        <f>804*3599.78</f>
        <v>2894223.12</v>
      </c>
      <c r="G1711" s="1">
        <f>1693*3599.78</f>
        <v>6094427.54</v>
      </c>
      <c r="H1711" s="1">
        <f>390*3599.78</f>
        <v>1403914.2000000002</v>
      </c>
      <c r="I1711" s="1">
        <f>571*3599.78</f>
        <v>2055474.3800000001</v>
      </c>
      <c r="J1711" s="1">
        <f>467*3599.78</f>
        <v>1681097.26</v>
      </c>
      <c r="K1711" s="1">
        <v>0</v>
      </c>
      <c r="L1711" s="2">
        <v>0</v>
      </c>
      <c r="M1711" s="1">
        <v>0</v>
      </c>
      <c r="N1711" s="1">
        <v>780</v>
      </c>
      <c r="O1711" s="1">
        <f>N1711*4968</f>
        <v>3875040</v>
      </c>
      <c r="P1711" s="1">
        <v>0</v>
      </c>
      <c r="Q1711" s="1">
        <f>P1711*1400</f>
        <v>0</v>
      </c>
      <c r="R1711" s="1">
        <v>1400</v>
      </c>
      <c r="S1711" s="1">
        <f t="shared" si="886"/>
        <v>5251400</v>
      </c>
      <c r="T1711" s="1">
        <v>0</v>
      </c>
      <c r="U1711" s="1">
        <v>50000</v>
      </c>
      <c r="V1711" s="1">
        <v>0</v>
      </c>
      <c r="W1711" s="1">
        <v>50000</v>
      </c>
      <c r="X1711" s="1">
        <v>0</v>
      </c>
      <c r="Y1711" s="1">
        <v>0</v>
      </c>
      <c r="Z1711" s="1">
        <v>0</v>
      </c>
      <c r="AA1711" s="1">
        <v>0</v>
      </c>
      <c r="AB1711" s="1">
        <v>0</v>
      </c>
      <c r="AC1711" s="1">
        <v>0</v>
      </c>
      <c r="AD1711" s="1">
        <v>0</v>
      </c>
    </row>
    <row r="1712" spans="1:30" s="20" customFormat="1" ht="36" customHeight="1" x14ac:dyDescent="0.25">
      <c r="A1712" s="2">
        <f t="shared" si="878"/>
        <v>1656</v>
      </c>
      <c r="B1712" s="6">
        <f t="shared" si="876"/>
        <v>1656</v>
      </c>
      <c r="C1712" s="19" t="s">
        <v>991</v>
      </c>
      <c r="D1712" s="4">
        <f t="shared" si="875"/>
        <v>18875745.5</v>
      </c>
      <c r="E1712" s="1">
        <f t="shared" si="883"/>
        <v>13899445.500000002</v>
      </c>
      <c r="F1712" s="1">
        <f>804*3541.26</f>
        <v>2847173.04</v>
      </c>
      <c r="G1712" s="1">
        <f>1693*3541.26</f>
        <v>5995353.1800000006</v>
      </c>
      <c r="H1712" s="1">
        <f>390*3541.26</f>
        <v>1381091.4000000001</v>
      </c>
      <c r="I1712" s="1">
        <f>571*3541.26</f>
        <v>2022059.4600000002</v>
      </c>
      <c r="J1712" s="1">
        <f>467*3541.26</f>
        <v>1653768.4200000002</v>
      </c>
      <c r="K1712" s="1">
        <v>0</v>
      </c>
      <c r="L1712" s="2">
        <v>0</v>
      </c>
      <c r="M1712" s="1">
        <v>0</v>
      </c>
      <c r="N1712" s="1">
        <v>0</v>
      </c>
      <c r="O1712" s="1">
        <v>0</v>
      </c>
      <c r="P1712" s="1">
        <v>0</v>
      </c>
      <c r="Q1712" s="1">
        <f>P1712*1400</f>
        <v>0</v>
      </c>
      <c r="R1712" s="1">
        <v>1300</v>
      </c>
      <c r="S1712" s="1">
        <f t="shared" si="886"/>
        <v>4876300</v>
      </c>
      <c r="T1712" s="1">
        <v>0</v>
      </c>
      <c r="U1712" s="1">
        <v>50000</v>
      </c>
      <c r="V1712" s="1">
        <v>0</v>
      </c>
      <c r="W1712" s="1">
        <v>50000</v>
      </c>
      <c r="X1712" s="1">
        <v>0</v>
      </c>
      <c r="Y1712" s="1">
        <v>0</v>
      </c>
      <c r="Z1712" s="1">
        <v>0</v>
      </c>
      <c r="AA1712" s="1">
        <v>0</v>
      </c>
      <c r="AB1712" s="1">
        <v>0</v>
      </c>
      <c r="AC1712" s="1">
        <v>0</v>
      </c>
      <c r="AD1712" s="1">
        <v>0</v>
      </c>
    </row>
    <row r="1713" spans="1:30" s="20" customFormat="1" ht="36" customHeight="1" x14ac:dyDescent="0.25">
      <c r="A1713" s="2">
        <f t="shared" si="878"/>
        <v>1657</v>
      </c>
      <c r="B1713" s="6">
        <f>A1713</f>
        <v>1657</v>
      </c>
      <c r="C1713" s="19" t="s">
        <v>2521</v>
      </c>
      <c r="D1713" s="4">
        <f t="shared" si="875"/>
        <v>7200000</v>
      </c>
      <c r="E1713" s="1">
        <f>SUM(F1713:K1713)</f>
        <v>0</v>
      </c>
      <c r="F1713" s="1">
        <v>0</v>
      </c>
      <c r="G1713" s="1">
        <v>0</v>
      </c>
      <c r="H1713" s="1">
        <v>0</v>
      </c>
      <c r="I1713" s="1">
        <v>0</v>
      </c>
      <c r="J1713" s="1">
        <v>0</v>
      </c>
      <c r="K1713" s="1">
        <v>0</v>
      </c>
      <c r="L1713" s="2">
        <v>2</v>
      </c>
      <c r="M1713" s="1">
        <f t="shared" ref="M1713" si="887">L1713*3500000</f>
        <v>7000000</v>
      </c>
      <c r="N1713" s="1">
        <v>0</v>
      </c>
      <c r="O1713" s="1">
        <v>0</v>
      </c>
      <c r="P1713" s="1">
        <v>0</v>
      </c>
      <c r="Q1713" s="1">
        <f>P1713*1400</f>
        <v>0</v>
      </c>
      <c r="R1713" s="1">
        <v>0</v>
      </c>
      <c r="S1713" s="1">
        <f>R1713*3751</f>
        <v>0</v>
      </c>
      <c r="T1713" s="1">
        <v>0</v>
      </c>
      <c r="U1713" s="1">
        <v>200000</v>
      </c>
      <c r="V1713" s="1">
        <v>0</v>
      </c>
      <c r="W1713" s="1">
        <v>0</v>
      </c>
      <c r="X1713" s="1">
        <v>0</v>
      </c>
      <c r="Y1713" s="1">
        <v>0</v>
      </c>
      <c r="Z1713" s="1">
        <v>0</v>
      </c>
      <c r="AA1713" s="1">
        <v>0</v>
      </c>
      <c r="AB1713" s="1">
        <v>0</v>
      </c>
      <c r="AC1713" s="1">
        <v>0</v>
      </c>
      <c r="AD1713" s="1">
        <v>0</v>
      </c>
    </row>
    <row r="1714" spans="1:30" s="20" customFormat="1" ht="36" customHeight="1" x14ac:dyDescent="0.25">
      <c r="A1714" s="2">
        <f t="shared" si="878"/>
        <v>1658</v>
      </c>
      <c r="B1714" s="6">
        <f t="shared" si="876"/>
        <v>1658</v>
      </c>
      <c r="C1714" s="19" t="s">
        <v>992</v>
      </c>
      <c r="D1714" s="4">
        <f t="shared" si="875"/>
        <v>2751134.48</v>
      </c>
      <c r="E1714" s="1">
        <f t="shared" si="883"/>
        <v>2701134.48</v>
      </c>
      <c r="F1714" s="1">
        <f>804*3359.62</f>
        <v>2701134.48</v>
      </c>
      <c r="G1714" s="1">
        <v>0</v>
      </c>
      <c r="H1714" s="1">
        <v>0</v>
      </c>
      <c r="I1714" s="1">
        <v>0</v>
      </c>
      <c r="J1714" s="1">
        <v>0</v>
      </c>
      <c r="K1714" s="1">
        <v>0</v>
      </c>
      <c r="L1714" s="2">
        <v>0</v>
      </c>
      <c r="M1714" s="1">
        <v>0</v>
      </c>
      <c r="N1714" s="1">
        <v>0</v>
      </c>
      <c r="O1714" s="1">
        <v>0</v>
      </c>
      <c r="P1714" s="1">
        <v>0</v>
      </c>
      <c r="Q1714" s="1">
        <f t="shared" si="884"/>
        <v>0</v>
      </c>
      <c r="R1714" s="1">
        <v>0</v>
      </c>
      <c r="S1714" s="1">
        <f t="shared" si="886"/>
        <v>0</v>
      </c>
      <c r="T1714" s="1">
        <v>0</v>
      </c>
      <c r="U1714" s="1">
        <v>50000</v>
      </c>
      <c r="V1714" s="1">
        <v>0</v>
      </c>
      <c r="W1714" s="1">
        <v>0</v>
      </c>
      <c r="X1714" s="1">
        <v>0</v>
      </c>
      <c r="Y1714" s="1">
        <v>0</v>
      </c>
      <c r="Z1714" s="1">
        <v>0</v>
      </c>
      <c r="AA1714" s="1">
        <v>0</v>
      </c>
      <c r="AB1714" s="1">
        <v>0</v>
      </c>
      <c r="AC1714" s="1">
        <v>0</v>
      </c>
      <c r="AD1714" s="1">
        <v>0</v>
      </c>
    </row>
    <row r="1715" spans="1:30" s="20" customFormat="1" ht="35.25" customHeight="1" x14ac:dyDescent="0.25">
      <c r="A1715" s="2">
        <f t="shared" si="878"/>
        <v>1659</v>
      </c>
      <c r="B1715" s="6">
        <f>A1715</f>
        <v>1659</v>
      </c>
      <c r="C1715" s="19" t="s">
        <v>1878</v>
      </c>
      <c r="D1715" s="8">
        <f t="shared" si="875"/>
        <v>14200000</v>
      </c>
      <c r="E1715" s="1">
        <f>SUM(F1715:K1715)</f>
        <v>0</v>
      </c>
      <c r="F1715" s="1">
        <v>0</v>
      </c>
      <c r="G1715" s="1">
        <v>0</v>
      </c>
      <c r="H1715" s="1">
        <v>0</v>
      </c>
      <c r="I1715" s="1">
        <v>0</v>
      </c>
      <c r="J1715" s="1">
        <v>0</v>
      </c>
      <c r="K1715" s="1">
        <v>0</v>
      </c>
      <c r="L1715" s="2">
        <v>4</v>
      </c>
      <c r="M1715" s="1">
        <f>L1715*3500000</f>
        <v>14000000</v>
      </c>
      <c r="N1715" s="1">
        <v>0</v>
      </c>
      <c r="O1715" s="1">
        <v>0</v>
      </c>
      <c r="P1715" s="1">
        <v>0</v>
      </c>
      <c r="Q1715" s="1">
        <f>1400*P1715</f>
        <v>0</v>
      </c>
      <c r="R1715" s="1">
        <v>0</v>
      </c>
      <c r="S1715" s="1">
        <f>R1715*3751</f>
        <v>0</v>
      </c>
      <c r="T1715" s="1">
        <v>0</v>
      </c>
      <c r="U1715" s="1">
        <v>200000</v>
      </c>
      <c r="V1715" s="1">
        <v>0</v>
      </c>
      <c r="W1715" s="1">
        <v>0</v>
      </c>
      <c r="X1715" s="1">
        <v>0</v>
      </c>
      <c r="Y1715" s="1">
        <v>0</v>
      </c>
      <c r="Z1715" s="1">
        <v>0</v>
      </c>
      <c r="AA1715" s="1">
        <v>0</v>
      </c>
      <c r="AB1715" s="1">
        <v>0</v>
      </c>
      <c r="AC1715" s="1">
        <v>0</v>
      </c>
      <c r="AD1715" s="1">
        <v>0</v>
      </c>
    </row>
    <row r="1716" spans="1:30" s="20" customFormat="1" ht="36" customHeight="1" x14ac:dyDescent="0.25">
      <c r="A1716" s="2">
        <f t="shared" si="878"/>
        <v>1660</v>
      </c>
      <c r="B1716" s="6">
        <f t="shared" si="876"/>
        <v>1660</v>
      </c>
      <c r="C1716" s="19" t="s">
        <v>2522</v>
      </c>
      <c r="D1716" s="4">
        <f t="shared" ref="D1716:D1779" si="888">E1716+M1716+O1716+Q1716+S1716+T1716+U1716+V1716+W1716+X1716+Z1716+AA1716+AB1716+AC1716+AD1716</f>
        <v>6860420.0000000009</v>
      </c>
      <c r="E1716" s="1">
        <f t="shared" si="883"/>
        <v>6760420.0000000009</v>
      </c>
      <c r="F1716" s="1">
        <f>804*1722.4</f>
        <v>1384809.6</v>
      </c>
      <c r="G1716" s="1">
        <f>1693*1722.4</f>
        <v>2916023.2</v>
      </c>
      <c r="H1716" s="1">
        <f>390*1722.4</f>
        <v>671736</v>
      </c>
      <c r="I1716" s="1">
        <f>571*1722.4</f>
        <v>983490.4</v>
      </c>
      <c r="J1716" s="1">
        <f>467*1722.4</f>
        <v>804360.8</v>
      </c>
      <c r="K1716" s="1">
        <v>0</v>
      </c>
      <c r="L1716" s="2">
        <v>0</v>
      </c>
      <c r="M1716" s="1">
        <v>0</v>
      </c>
      <c r="N1716" s="1">
        <v>0</v>
      </c>
      <c r="O1716" s="1">
        <v>0</v>
      </c>
      <c r="P1716" s="1">
        <v>0</v>
      </c>
      <c r="Q1716" s="1">
        <f t="shared" si="884"/>
        <v>0</v>
      </c>
      <c r="R1716" s="1">
        <v>0</v>
      </c>
      <c r="S1716" s="1">
        <f t="shared" si="886"/>
        <v>0</v>
      </c>
      <c r="T1716" s="1">
        <v>0</v>
      </c>
      <c r="U1716" s="1">
        <v>50000</v>
      </c>
      <c r="V1716" s="1">
        <v>0</v>
      </c>
      <c r="W1716" s="1">
        <v>50000</v>
      </c>
      <c r="X1716" s="1">
        <v>0</v>
      </c>
      <c r="Y1716" s="1">
        <v>0</v>
      </c>
      <c r="Z1716" s="1">
        <v>0</v>
      </c>
      <c r="AA1716" s="1">
        <v>0</v>
      </c>
      <c r="AB1716" s="1">
        <v>0</v>
      </c>
      <c r="AC1716" s="1">
        <v>0</v>
      </c>
      <c r="AD1716" s="1">
        <v>0</v>
      </c>
    </row>
    <row r="1717" spans="1:30" s="20" customFormat="1" ht="36" customHeight="1" x14ac:dyDescent="0.25">
      <c r="A1717" s="2">
        <f t="shared" si="878"/>
        <v>1661</v>
      </c>
      <c r="B1717" s="6">
        <f>A1717</f>
        <v>1661</v>
      </c>
      <c r="C1717" s="19" t="s">
        <v>2523</v>
      </c>
      <c r="D1717" s="4">
        <f t="shared" si="888"/>
        <v>9762962.5</v>
      </c>
      <c r="E1717" s="1">
        <f>SUM(F1717:K1717)</f>
        <v>7412362.5</v>
      </c>
      <c r="F1717" s="1">
        <f>804*1888.5</f>
        <v>1518354</v>
      </c>
      <c r="G1717" s="1">
        <f>1693*1888.5</f>
        <v>3197230.5</v>
      </c>
      <c r="H1717" s="1">
        <f>390*1888.5</f>
        <v>736515</v>
      </c>
      <c r="I1717" s="1">
        <f>571*1888.5</f>
        <v>1078333.5</v>
      </c>
      <c r="J1717" s="1">
        <f>467*1888.5</f>
        <v>881929.5</v>
      </c>
      <c r="K1717" s="1">
        <v>0</v>
      </c>
      <c r="L1717" s="2">
        <v>0</v>
      </c>
      <c r="M1717" s="1">
        <v>0</v>
      </c>
      <c r="N1717" s="1">
        <v>0</v>
      </c>
      <c r="O1717" s="1">
        <v>0</v>
      </c>
      <c r="P1717" s="1">
        <v>0</v>
      </c>
      <c r="Q1717" s="1">
        <f>P1717*1400</f>
        <v>0</v>
      </c>
      <c r="R1717" s="1">
        <v>600</v>
      </c>
      <c r="S1717" s="1">
        <f>R1717*3751</f>
        <v>2250600</v>
      </c>
      <c r="T1717" s="1">
        <v>0</v>
      </c>
      <c r="U1717" s="1">
        <v>50000</v>
      </c>
      <c r="V1717" s="1">
        <v>0</v>
      </c>
      <c r="W1717" s="1">
        <v>50000</v>
      </c>
      <c r="X1717" s="1">
        <v>0</v>
      </c>
      <c r="Y1717" s="1">
        <v>0</v>
      </c>
      <c r="Z1717" s="1">
        <v>0</v>
      </c>
      <c r="AA1717" s="1">
        <v>0</v>
      </c>
      <c r="AB1717" s="1">
        <v>0</v>
      </c>
      <c r="AC1717" s="1">
        <v>0</v>
      </c>
      <c r="AD1717" s="1">
        <v>0</v>
      </c>
    </row>
    <row r="1718" spans="1:30" s="20" customFormat="1" ht="36" customHeight="1" x14ac:dyDescent="0.25">
      <c r="A1718" s="2">
        <f t="shared" si="878"/>
        <v>1662</v>
      </c>
      <c r="B1718" s="6">
        <f t="shared" si="876"/>
        <v>1662</v>
      </c>
      <c r="C1718" s="19" t="s">
        <v>2524</v>
      </c>
      <c r="D1718" s="4">
        <f t="shared" si="888"/>
        <v>15711844.499999998</v>
      </c>
      <c r="E1718" s="1">
        <f t="shared" si="883"/>
        <v>15611844.499999998</v>
      </c>
      <c r="F1718" s="1">
        <f>804*3977.54</f>
        <v>3197942.16</v>
      </c>
      <c r="G1718" s="1">
        <f>1693*3977.54</f>
        <v>6733975.2199999997</v>
      </c>
      <c r="H1718" s="1">
        <f>390*3977.54</f>
        <v>1551240.6</v>
      </c>
      <c r="I1718" s="1">
        <f>571*3977.54</f>
        <v>2271175.34</v>
      </c>
      <c r="J1718" s="1">
        <f>467*3977.54</f>
        <v>1857511.18</v>
      </c>
      <c r="K1718" s="1">
        <v>0</v>
      </c>
      <c r="L1718" s="2">
        <v>0</v>
      </c>
      <c r="M1718" s="1">
        <v>0</v>
      </c>
      <c r="N1718" s="1">
        <v>0</v>
      </c>
      <c r="O1718" s="1">
        <v>0</v>
      </c>
      <c r="P1718" s="1">
        <v>0</v>
      </c>
      <c r="Q1718" s="1">
        <f t="shared" si="884"/>
        <v>0</v>
      </c>
      <c r="R1718" s="1">
        <v>0</v>
      </c>
      <c r="S1718" s="1">
        <f t="shared" si="886"/>
        <v>0</v>
      </c>
      <c r="T1718" s="1">
        <v>0</v>
      </c>
      <c r="U1718" s="1">
        <v>50000</v>
      </c>
      <c r="V1718" s="1">
        <v>0</v>
      </c>
      <c r="W1718" s="1">
        <v>50000</v>
      </c>
      <c r="X1718" s="1">
        <v>0</v>
      </c>
      <c r="Y1718" s="1">
        <v>0</v>
      </c>
      <c r="Z1718" s="1">
        <v>0</v>
      </c>
      <c r="AA1718" s="1">
        <v>0</v>
      </c>
      <c r="AB1718" s="1">
        <v>0</v>
      </c>
      <c r="AC1718" s="1">
        <v>0</v>
      </c>
      <c r="AD1718" s="1">
        <v>0</v>
      </c>
    </row>
    <row r="1719" spans="1:30" s="20" customFormat="1" ht="36" customHeight="1" x14ac:dyDescent="0.25">
      <c r="A1719" s="2">
        <f t="shared" si="878"/>
        <v>1663</v>
      </c>
      <c r="B1719" s="6">
        <f t="shared" si="876"/>
        <v>1663</v>
      </c>
      <c r="C1719" s="19" t="s">
        <v>2525</v>
      </c>
      <c r="D1719" s="4">
        <f t="shared" si="888"/>
        <v>15303367.499999998</v>
      </c>
      <c r="E1719" s="1">
        <f t="shared" si="883"/>
        <v>10327067.499999998</v>
      </c>
      <c r="F1719" s="1">
        <f>804*2631.1</f>
        <v>2115404.4</v>
      </c>
      <c r="G1719" s="1">
        <f>1693*2631.1</f>
        <v>4454452.3</v>
      </c>
      <c r="H1719" s="1">
        <f>390*2631.1</f>
        <v>1026129</v>
      </c>
      <c r="I1719" s="1">
        <f>571*2631.1</f>
        <v>1502358.0999999999</v>
      </c>
      <c r="J1719" s="1">
        <f>467*2631.1</f>
        <v>1228723.7</v>
      </c>
      <c r="K1719" s="1">
        <v>0</v>
      </c>
      <c r="L1719" s="2">
        <v>0</v>
      </c>
      <c r="M1719" s="1">
        <v>0</v>
      </c>
      <c r="N1719" s="1">
        <v>0</v>
      </c>
      <c r="O1719" s="1">
        <v>0</v>
      </c>
      <c r="P1719" s="1">
        <v>0</v>
      </c>
      <c r="Q1719" s="1">
        <f t="shared" si="884"/>
        <v>0</v>
      </c>
      <c r="R1719" s="1">
        <v>1300</v>
      </c>
      <c r="S1719" s="1">
        <f t="shared" ref="S1719:S1728" si="889">R1719*3751</f>
        <v>4876300</v>
      </c>
      <c r="T1719" s="1">
        <v>0</v>
      </c>
      <c r="U1719" s="1">
        <v>50000</v>
      </c>
      <c r="V1719" s="1">
        <v>0</v>
      </c>
      <c r="W1719" s="1">
        <v>50000</v>
      </c>
      <c r="X1719" s="1">
        <v>0</v>
      </c>
      <c r="Y1719" s="1">
        <v>0</v>
      </c>
      <c r="Z1719" s="1">
        <v>0</v>
      </c>
      <c r="AA1719" s="1">
        <v>0</v>
      </c>
      <c r="AB1719" s="1">
        <v>0</v>
      </c>
      <c r="AC1719" s="1">
        <v>0</v>
      </c>
      <c r="AD1719" s="1">
        <v>0</v>
      </c>
    </row>
    <row r="1720" spans="1:30" s="20" customFormat="1" ht="36" customHeight="1" x14ac:dyDescent="0.25">
      <c r="A1720" s="2">
        <f t="shared" si="878"/>
        <v>1664</v>
      </c>
      <c r="B1720" s="2">
        <f t="shared" si="876"/>
        <v>1664</v>
      </c>
      <c r="C1720" s="19" t="s">
        <v>2526</v>
      </c>
      <c r="D1720" s="39">
        <f t="shared" si="888"/>
        <v>20617582</v>
      </c>
      <c r="E1720" s="1">
        <f t="shared" si="883"/>
        <v>15641281.999999998</v>
      </c>
      <c r="F1720" s="1">
        <f>804*3985.04</f>
        <v>3203972.16</v>
      </c>
      <c r="G1720" s="1">
        <f>1693*3985.04</f>
        <v>6746672.7199999997</v>
      </c>
      <c r="H1720" s="1">
        <f>390*3985.04</f>
        <v>1554165.6</v>
      </c>
      <c r="I1720" s="1">
        <f>571*3985.04</f>
        <v>2275457.84</v>
      </c>
      <c r="J1720" s="1">
        <f>467*3985.04</f>
        <v>1861013.68</v>
      </c>
      <c r="K1720" s="1">
        <v>0</v>
      </c>
      <c r="L1720" s="2">
        <v>0</v>
      </c>
      <c r="M1720" s="1">
        <v>0</v>
      </c>
      <c r="N1720" s="1">
        <v>0</v>
      </c>
      <c r="O1720" s="1">
        <v>0</v>
      </c>
      <c r="P1720" s="1">
        <v>0</v>
      </c>
      <c r="Q1720" s="1">
        <f t="shared" si="884"/>
        <v>0</v>
      </c>
      <c r="R1720" s="1">
        <v>1300</v>
      </c>
      <c r="S1720" s="1">
        <f t="shared" si="889"/>
        <v>4876300</v>
      </c>
      <c r="T1720" s="1">
        <v>0</v>
      </c>
      <c r="U1720" s="1">
        <v>50000</v>
      </c>
      <c r="V1720" s="1">
        <v>0</v>
      </c>
      <c r="W1720" s="1">
        <v>50000</v>
      </c>
      <c r="X1720" s="1">
        <v>0</v>
      </c>
      <c r="Y1720" s="1">
        <v>0</v>
      </c>
      <c r="Z1720" s="1">
        <v>0</v>
      </c>
      <c r="AA1720" s="1">
        <v>0</v>
      </c>
      <c r="AB1720" s="1">
        <v>0</v>
      </c>
      <c r="AC1720" s="1">
        <v>0</v>
      </c>
      <c r="AD1720" s="1">
        <v>0</v>
      </c>
    </row>
    <row r="1721" spans="1:30" s="20" customFormat="1" ht="36" customHeight="1" x14ac:dyDescent="0.25">
      <c r="A1721" s="2">
        <f t="shared" si="878"/>
        <v>1665</v>
      </c>
      <c r="B1721" s="2">
        <f t="shared" ref="B1721:B1775" si="890">A1721</f>
        <v>1665</v>
      </c>
      <c r="C1721" s="19" t="s">
        <v>993</v>
      </c>
      <c r="D1721" s="39">
        <f t="shared" si="888"/>
        <v>2957690.5</v>
      </c>
      <c r="E1721" s="1">
        <f t="shared" si="883"/>
        <v>1657370.4999999998</v>
      </c>
      <c r="F1721" s="1">
        <f>804*422.26</f>
        <v>339497.04</v>
      </c>
      <c r="G1721" s="1">
        <f>1693*422.26</f>
        <v>714886.17999999993</v>
      </c>
      <c r="H1721" s="1">
        <f>390*422.26</f>
        <v>164681.4</v>
      </c>
      <c r="I1721" s="1">
        <f>571*422.26</f>
        <v>241110.46</v>
      </c>
      <c r="J1721" s="1">
        <f>467*422.26</f>
        <v>197195.41999999998</v>
      </c>
      <c r="K1721" s="1">
        <v>0</v>
      </c>
      <c r="L1721" s="2">
        <v>0</v>
      </c>
      <c r="M1721" s="1">
        <v>0</v>
      </c>
      <c r="N1721" s="1">
        <v>0</v>
      </c>
      <c r="O1721" s="1">
        <v>0</v>
      </c>
      <c r="P1721" s="1">
        <v>0</v>
      </c>
      <c r="Q1721" s="1">
        <f>P1721*1400</f>
        <v>0</v>
      </c>
      <c r="R1721" s="1">
        <v>320</v>
      </c>
      <c r="S1721" s="1">
        <f t="shared" si="889"/>
        <v>1200320</v>
      </c>
      <c r="T1721" s="1">
        <v>0</v>
      </c>
      <c r="U1721" s="1">
        <v>50000</v>
      </c>
      <c r="V1721" s="1">
        <v>0</v>
      </c>
      <c r="W1721" s="1">
        <v>50000</v>
      </c>
      <c r="X1721" s="1">
        <v>0</v>
      </c>
      <c r="Y1721" s="1">
        <v>0</v>
      </c>
      <c r="Z1721" s="1">
        <v>0</v>
      </c>
      <c r="AA1721" s="1">
        <v>0</v>
      </c>
      <c r="AB1721" s="1">
        <v>0</v>
      </c>
      <c r="AC1721" s="1">
        <v>0</v>
      </c>
      <c r="AD1721" s="1">
        <v>0</v>
      </c>
    </row>
    <row r="1722" spans="1:30" s="20" customFormat="1" ht="36" customHeight="1" x14ac:dyDescent="0.25">
      <c r="A1722" s="2">
        <f t="shared" si="878"/>
        <v>1666</v>
      </c>
      <c r="B1722" s="6">
        <f t="shared" ref="B1722" si="891">A1722</f>
        <v>1666</v>
      </c>
      <c r="C1722" s="19" t="s">
        <v>2231</v>
      </c>
      <c r="D1722" s="4">
        <f t="shared" si="888"/>
        <v>21200000</v>
      </c>
      <c r="E1722" s="1">
        <f t="shared" si="883"/>
        <v>0</v>
      </c>
      <c r="F1722" s="1">
        <v>0</v>
      </c>
      <c r="G1722" s="1">
        <v>0</v>
      </c>
      <c r="H1722" s="1">
        <v>0</v>
      </c>
      <c r="I1722" s="1">
        <v>0</v>
      </c>
      <c r="J1722" s="1">
        <v>0</v>
      </c>
      <c r="K1722" s="1">
        <v>0</v>
      </c>
      <c r="L1722" s="2">
        <v>6</v>
      </c>
      <c r="M1722" s="1">
        <f>L1722*3500000</f>
        <v>21000000</v>
      </c>
      <c r="N1722" s="1">
        <v>0</v>
      </c>
      <c r="O1722" s="1">
        <v>0</v>
      </c>
      <c r="P1722" s="1">
        <v>0</v>
      </c>
      <c r="Q1722" s="1">
        <f t="shared" ref="Q1722" si="892">P1722*1400</f>
        <v>0</v>
      </c>
      <c r="R1722" s="1">
        <v>0</v>
      </c>
      <c r="S1722" s="1">
        <f t="shared" si="889"/>
        <v>0</v>
      </c>
      <c r="T1722" s="1">
        <v>0</v>
      </c>
      <c r="U1722" s="1">
        <v>200000</v>
      </c>
      <c r="V1722" s="1">
        <v>0</v>
      </c>
      <c r="W1722" s="1">
        <v>0</v>
      </c>
      <c r="X1722" s="1">
        <v>0</v>
      </c>
      <c r="Y1722" s="1">
        <v>0</v>
      </c>
      <c r="Z1722" s="1">
        <v>0</v>
      </c>
      <c r="AA1722" s="1">
        <v>0</v>
      </c>
      <c r="AB1722" s="1">
        <v>0</v>
      </c>
      <c r="AC1722" s="1">
        <v>0</v>
      </c>
      <c r="AD1722" s="1">
        <v>0</v>
      </c>
    </row>
    <row r="1723" spans="1:30" s="20" customFormat="1" ht="36" customHeight="1" x14ac:dyDescent="0.25">
      <c r="A1723" s="2">
        <f t="shared" ref="A1723:A1786" si="893">ROW()-ROW($A$11)-45</f>
        <v>1667</v>
      </c>
      <c r="B1723" s="6">
        <f>A1723</f>
        <v>1667</v>
      </c>
      <c r="C1723" s="19" t="s">
        <v>1002</v>
      </c>
      <c r="D1723" s="4">
        <f t="shared" si="888"/>
        <v>21093662.5</v>
      </c>
      <c r="E1723" s="1">
        <f>SUM(F1723:K1723)</f>
        <v>14241862.5</v>
      </c>
      <c r="F1723" s="1">
        <f>804*3628.5</f>
        <v>2917314</v>
      </c>
      <c r="G1723" s="1">
        <f>1693*3628.5</f>
        <v>6143050.5</v>
      </c>
      <c r="H1723" s="1">
        <f>390*3628.5</f>
        <v>1415115</v>
      </c>
      <c r="I1723" s="1">
        <f>571*3628.5</f>
        <v>2071873.5</v>
      </c>
      <c r="J1723" s="1">
        <f>467*3628.5</f>
        <v>1694509.5</v>
      </c>
      <c r="K1723" s="1">
        <v>0</v>
      </c>
      <c r="L1723" s="2">
        <v>0</v>
      </c>
      <c r="M1723" s="1">
        <v>0</v>
      </c>
      <c r="N1723" s="1">
        <v>0</v>
      </c>
      <c r="O1723" s="1">
        <v>0</v>
      </c>
      <c r="P1723" s="1">
        <v>0</v>
      </c>
      <c r="Q1723" s="1">
        <f>P1723*1400</f>
        <v>0</v>
      </c>
      <c r="R1723" s="1">
        <v>1800</v>
      </c>
      <c r="S1723" s="1">
        <f>R1723*3751</f>
        <v>6751800</v>
      </c>
      <c r="T1723" s="1">
        <v>0</v>
      </c>
      <c r="U1723" s="1">
        <v>50000</v>
      </c>
      <c r="V1723" s="1">
        <v>0</v>
      </c>
      <c r="W1723" s="1">
        <v>50000</v>
      </c>
      <c r="X1723" s="1">
        <v>0</v>
      </c>
      <c r="Y1723" s="1">
        <v>0</v>
      </c>
      <c r="Z1723" s="1">
        <v>0</v>
      </c>
      <c r="AA1723" s="1">
        <v>0</v>
      </c>
      <c r="AB1723" s="1">
        <v>0</v>
      </c>
      <c r="AC1723" s="1">
        <v>0</v>
      </c>
      <c r="AD1723" s="1">
        <v>0</v>
      </c>
    </row>
    <row r="1724" spans="1:30" s="20" customFormat="1" ht="36" customHeight="1" x14ac:dyDescent="0.25">
      <c r="A1724" s="2">
        <f t="shared" si="893"/>
        <v>1668</v>
      </c>
      <c r="B1724" s="6">
        <f>A1724</f>
        <v>1668</v>
      </c>
      <c r="C1724" s="19" t="s">
        <v>1003</v>
      </c>
      <c r="D1724" s="4">
        <f t="shared" si="888"/>
        <v>17769109</v>
      </c>
      <c r="E1724" s="1">
        <f>SUM(F1724:K1724)</f>
        <v>10917309</v>
      </c>
      <c r="F1724" s="1">
        <f>804*2781.48</f>
        <v>2236309.92</v>
      </c>
      <c r="G1724" s="1">
        <f>1693*2781.48</f>
        <v>4709045.6399999997</v>
      </c>
      <c r="H1724" s="1">
        <f>390*2781.48</f>
        <v>1084777.2</v>
      </c>
      <c r="I1724" s="1">
        <f>571*2781.48</f>
        <v>1588225.08</v>
      </c>
      <c r="J1724" s="1">
        <f>467*2781.48</f>
        <v>1298951.1599999999</v>
      </c>
      <c r="K1724" s="1">
        <v>0</v>
      </c>
      <c r="L1724" s="2">
        <v>0</v>
      </c>
      <c r="M1724" s="1">
        <v>0</v>
      </c>
      <c r="N1724" s="1">
        <v>0</v>
      </c>
      <c r="O1724" s="1">
        <v>0</v>
      </c>
      <c r="P1724" s="1">
        <v>0</v>
      </c>
      <c r="Q1724" s="1">
        <f>P1724*1400</f>
        <v>0</v>
      </c>
      <c r="R1724" s="1">
        <v>1800</v>
      </c>
      <c r="S1724" s="1">
        <f>R1724*3751</f>
        <v>6751800</v>
      </c>
      <c r="T1724" s="1">
        <v>0</v>
      </c>
      <c r="U1724" s="1">
        <v>50000</v>
      </c>
      <c r="V1724" s="1">
        <v>0</v>
      </c>
      <c r="W1724" s="1">
        <v>50000</v>
      </c>
      <c r="X1724" s="1">
        <v>0</v>
      </c>
      <c r="Y1724" s="1">
        <v>0</v>
      </c>
      <c r="Z1724" s="1">
        <v>0</v>
      </c>
      <c r="AA1724" s="1">
        <v>0</v>
      </c>
      <c r="AB1724" s="1">
        <v>0</v>
      </c>
      <c r="AC1724" s="1">
        <v>0</v>
      </c>
      <c r="AD1724" s="1">
        <v>0</v>
      </c>
    </row>
    <row r="1725" spans="1:30" s="20" customFormat="1" ht="36" customHeight="1" x14ac:dyDescent="0.25">
      <c r="A1725" s="2">
        <f t="shared" si="893"/>
        <v>1669</v>
      </c>
      <c r="B1725" s="6">
        <f>A1725</f>
        <v>1669</v>
      </c>
      <c r="C1725" s="19" t="s">
        <v>1004</v>
      </c>
      <c r="D1725" s="4">
        <f t="shared" si="888"/>
        <v>11846901.710000001</v>
      </c>
      <c r="E1725" s="1">
        <f>SUM(F1725:K1725)</f>
        <v>11796901.710000001</v>
      </c>
      <c r="F1725" s="1">
        <f>804*4724.43</f>
        <v>3798441.72</v>
      </c>
      <c r="G1725" s="1">
        <f>1693*4724.43</f>
        <v>7998459.9900000002</v>
      </c>
      <c r="H1725" s="1">
        <v>0</v>
      </c>
      <c r="I1725" s="1">
        <v>0</v>
      </c>
      <c r="J1725" s="1">
        <v>0</v>
      </c>
      <c r="K1725" s="1">
        <v>0</v>
      </c>
      <c r="L1725" s="2">
        <v>0</v>
      </c>
      <c r="M1725" s="1">
        <v>0</v>
      </c>
      <c r="N1725" s="1">
        <v>0</v>
      </c>
      <c r="O1725" s="1">
        <v>0</v>
      </c>
      <c r="P1725" s="1">
        <v>0</v>
      </c>
      <c r="Q1725" s="1">
        <v>0</v>
      </c>
      <c r="R1725" s="1">
        <v>0</v>
      </c>
      <c r="S1725" s="1">
        <v>0</v>
      </c>
      <c r="T1725" s="1">
        <v>0</v>
      </c>
      <c r="U1725" s="1">
        <v>50000</v>
      </c>
      <c r="V1725" s="1">
        <v>0</v>
      </c>
      <c r="W1725" s="1">
        <v>0</v>
      </c>
      <c r="X1725" s="1">
        <v>0</v>
      </c>
      <c r="Y1725" s="1">
        <v>0</v>
      </c>
      <c r="Z1725" s="1">
        <v>0</v>
      </c>
      <c r="AA1725" s="1">
        <v>0</v>
      </c>
      <c r="AB1725" s="1">
        <v>0</v>
      </c>
      <c r="AC1725" s="1">
        <v>0</v>
      </c>
      <c r="AD1725" s="1">
        <v>0</v>
      </c>
    </row>
    <row r="1726" spans="1:30" s="20" customFormat="1" ht="36" customHeight="1" x14ac:dyDescent="0.25">
      <c r="A1726" s="2">
        <f t="shared" si="893"/>
        <v>1670</v>
      </c>
      <c r="B1726" s="6">
        <f>A1726</f>
        <v>1670</v>
      </c>
      <c r="C1726" s="19" t="s">
        <v>1005</v>
      </c>
      <c r="D1726" s="4">
        <f t="shared" si="888"/>
        <v>11865754.059999999</v>
      </c>
      <c r="E1726" s="1">
        <f>SUM(F1726:K1726)</f>
        <v>11815754.059999999</v>
      </c>
      <c r="F1726" s="1">
        <f>804*4731.98</f>
        <v>3804511.9199999995</v>
      </c>
      <c r="G1726" s="1">
        <f>1693*4731.98</f>
        <v>8011242.1399999997</v>
      </c>
      <c r="H1726" s="1">
        <v>0</v>
      </c>
      <c r="I1726" s="1">
        <v>0</v>
      </c>
      <c r="J1726" s="1">
        <v>0</v>
      </c>
      <c r="K1726" s="1">
        <v>0</v>
      </c>
      <c r="L1726" s="2">
        <v>0</v>
      </c>
      <c r="M1726" s="1">
        <v>0</v>
      </c>
      <c r="N1726" s="1">
        <v>0</v>
      </c>
      <c r="O1726" s="1">
        <v>0</v>
      </c>
      <c r="P1726" s="1">
        <v>0</v>
      </c>
      <c r="Q1726" s="1">
        <v>0</v>
      </c>
      <c r="R1726" s="1">
        <v>0</v>
      </c>
      <c r="S1726" s="1">
        <v>0</v>
      </c>
      <c r="T1726" s="1">
        <v>0</v>
      </c>
      <c r="U1726" s="1">
        <v>50000</v>
      </c>
      <c r="V1726" s="1">
        <v>0</v>
      </c>
      <c r="W1726" s="1">
        <v>0</v>
      </c>
      <c r="X1726" s="1">
        <v>0</v>
      </c>
      <c r="Y1726" s="1">
        <v>0</v>
      </c>
      <c r="Z1726" s="1">
        <v>0</v>
      </c>
      <c r="AA1726" s="1">
        <v>0</v>
      </c>
      <c r="AB1726" s="1">
        <v>0</v>
      </c>
      <c r="AC1726" s="1">
        <v>0</v>
      </c>
      <c r="AD1726" s="1">
        <v>0</v>
      </c>
    </row>
    <row r="1727" spans="1:30" s="20" customFormat="1" ht="36" customHeight="1" x14ac:dyDescent="0.25">
      <c r="A1727" s="2">
        <f t="shared" si="893"/>
        <v>1671</v>
      </c>
      <c r="B1727" s="6">
        <f t="shared" si="890"/>
        <v>1671</v>
      </c>
      <c r="C1727" s="19" t="s">
        <v>994</v>
      </c>
      <c r="D1727" s="4">
        <f t="shared" si="888"/>
        <v>13144499.75</v>
      </c>
      <c r="E1727" s="1">
        <f t="shared" si="883"/>
        <v>8168199.7500000009</v>
      </c>
      <c r="F1727" s="1">
        <f>804*2081.07</f>
        <v>1673180.28</v>
      </c>
      <c r="G1727" s="1">
        <f>1693*2081.07</f>
        <v>3523251.5100000002</v>
      </c>
      <c r="H1727" s="1">
        <f>390*2081.07</f>
        <v>811617.3</v>
      </c>
      <c r="I1727" s="1">
        <f>571*2081.07</f>
        <v>1188290.9700000002</v>
      </c>
      <c r="J1727" s="1">
        <f>467*2081.07</f>
        <v>971859.69000000006</v>
      </c>
      <c r="K1727" s="1">
        <v>0</v>
      </c>
      <c r="L1727" s="2">
        <v>0</v>
      </c>
      <c r="M1727" s="1">
        <v>0</v>
      </c>
      <c r="N1727" s="1">
        <v>0</v>
      </c>
      <c r="O1727" s="1">
        <v>0</v>
      </c>
      <c r="P1727" s="1">
        <v>0</v>
      </c>
      <c r="Q1727" s="1">
        <f>P1727*1400</f>
        <v>0</v>
      </c>
      <c r="R1727" s="1">
        <v>1300</v>
      </c>
      <c r="S1727" s="1">
        <f t="shared" si="889"/>
        <v>4876300</v>
      </c>
      <c r="T1727" s="1">
        <v>0</v>
      </c>
      <c r="U1727" s="1">
        <v>50000</v>
      </c>
      <c r="V1727" s="1">
        <v>0</v>
      </c>
      <c r="W1727" s="1">
        <v>50000</v>
      </c>
      <c r="X1727" s="1">
        <v>0</v>
      </c>
      <c r="Y1727" s="1">
        <v>0</v>
      </c>
      <c r="Z1727" s="1">
        <v>0</v>
      </c>
      <c r="AA1727" s="1">
        <v>0</v>
      </c>
      <c r="AB1727" s="1">
        <v>0</v>
      </c>
      <c r="AC1727" s="1">
        <v>0</v>
      </c>
      <c r="AD1727" s="1">
        <v>0</v>
      </c>
    </row>
    <row r="1728" spans="1:30" s="20" customFormat="1" ht="36" customHeight="1" x14ac:dyDescent="0.25">
      <c r="A1728" s="2">
        <f t="shared" si="893"/>
        <v>1672</v>
      </c>
      <c r="B1728" s="6">
        <f t="shared" si="890"/>
        <v>1672</v>
      </c>
      <c r="C1728" s="19" t="s">
        <v>995</v>
      </c>
      <c r="D1728" s="4">
        <f t="shared" si="888"/>
        <v>13153645</v>
      </c>
      <c r="E1728" s="1">
        <f t="shared" si="883"/>
        <v>8177345.0000000009</v>
      </c>
      <c r="F1728" s="1">
        <f>804*2083.4</f>
        <v>1675053.6</v>
      </c>
      <c r="G1728" s="1">
        <f>1693*2083.4</f>
        <v>3527196.2</v>
      </c>
      <c r="H1728" s="1">
        <f>390*2083.4</f>
        <v>812526</v>
      </c>
      <c r="I1728" s="1">
        <f>571*2083.4</f>
        <v>1189621.4000000001</v>
      </c>
      <c r="J1728" s="1">
        <f>467*2083.4</f>
        <v>972947.8</v>
      </c>
      <c r="K1728" s="1">
        <v>0</v>
      </c>
      <c r="L1728" s="2">
        <v>0</v>
      </c>
      <c r="M1728" s="1">
        <v>0</v>
      </c>
      <c r="N1728" s="1">
        <v>0</v>
      </c>
      <c r="O1728" s="1">
        <v>0</v>
      </c>
      <c r="P1728" s="1">
        <v>0</v>
      </c>
      <c r="Q1728" s="1">
        <f>P1728*1400</f>
        <v>0</v>
      </c>
      <c r="R1728" s="1">
        <v>1300</v>
      </c>
      <c r="S1728" s="1">
        <f t="shared" si="889"/>
        <v>4876300</v>
      </c>
      <c r="T1728" s="1">
        <v>0</v>
      </c>
      <c r="U1728" s="1">
        <v>50000</v>
      </c>
      <c r="V1728" s="1">
        <v>0</v>
      </c>
      <c r="W1728" s="1">
        <v>50000</v>
      </c>
      <c r="X1728" s="1">
        <v>0</v>
      </c>
      <c r="Y1728" s="1">
        <v>0</v>
      </c>
      <c r="Z1728" s="1">
        <v>0</v>
      </c>
      <c r="AA1728" s="1">
        <v>0</v>
      </c>
      <c r="AB1728" s="1">
        <v>0</v>
      </c>
      <c r="AC1728" s="1">
        <v>0</v>
      </c>
      <c r="AD1728" s="1">
        <v>0</v>
      </c>
    </row>
    <row r="1729" spans="1:30" s="20" customFormat="1" ht="36" customHeight="1" x14ac:dyDescent="0.25">
      <c r="A1729" s="2">
        <f t="shared" si="893"/>
        <v>1673</v>
      </c>
      <c r="B1729" s="6">
        <f t="shared" si="890"/>
        <v>1673</v>
      </c>
      <c r="C1729" s="19" t="s">
        <v>996</v>
      </c>
      <c r="D1729" s="4">
        <f t="shared" si="888"/>
        <v>11818785.49</v>
      </c>
      <c r="E1729" s="1">
        <f t="shared" si="883"/>
        <v>11768785.49</v>
      </c>
      <c r="F1729" s="1">
        <f>804*4713.17</f>
        <v>3789388.68</v>
      </c>
      <c r="G1729" s="1">
        <f>1693*4713.17</f>
        <v>7979396.8100000005</v>
      </c>
      <c r="H1729" s="1">
        <v>0</v>
      </c>
      <c r="I1729" s="1">
        <v>0</v>
      </c>
      <c r="J1729" s="1">
        <v>0</v>
      </c>
      <c r="K1729" s="1">
        <v>0</v>
      </c>
      <c r="L1729" s="2">
        <v>0</v>
      </c>
      <c r="M1729" s="1">
        <v>0</v>
      </c>
      <c r="N1729" s="1">
        <v>0</v>
      </c>
      <c r="O1729" s="1">
        <v>0</v>
      </c>
      <c r="P1729" s="1">
        <v>0</v>
      </c>
      <c r="Q1729" s="1">
        <v>0</v>
      </c>
      <c r="R1729" s="1">
        <v>0</v>
      </c>
      <c r="S1729" s="1">
        <v>0</v>
      </c>
      <c r="T1729" s="1">
        <v>0</v>
      </c>
      <c r="U1729" s="1">
        <v>50000</v>
      </c>
      <c r="V1729" s="1">
        <v>0</v>
      </c>
      <c r="W1729" s="1">
        <v>0</v>
      </c>
      <c r="X1729" s="1">
        <v>0</v>
      </c>
      <c r="Y1729" s="1">
        <v>0</v>
      </c>
      <c r="Z1729" s="1">
        <v>0</v>
      </c>
      <c r="AA1729" s="1">
        <v>0</v>
      </c>
      <c r="AB1729" s="1">
        <v>0</v>
      </c>
      <c r="AC1729" s="1">
        <v>0</v>
      </c>
      <c r="AD1729" s="1">
        <v>0</v>
      </c>
    </row>
    <row r="1730" spans="1:30" s="20" customFormat="1" ht="36" customHeight="1" x14ac:dyDescent="0.25">
      <c r="A1730" s="2">
        <f t="shared" si="893"/>
        <v>1674</v>
      </c>
      <c r="B1730" s="6">
        <f t="shared" si="890"/>
        <v>1674</v>
      </c>
      <c r="C1730" s="19" t="s">
        <v>997</v>
      </c>
      <c r="D1730" s="4">
        <f t="shared" si="888"/>
        <v>11824478.649999999</v>
      </c>
      <c r="E1730" s="1">
        <f t="shared" si="883"/>
        <v>11774478.649999999</v>
      </c>
      <c r="F1730" s="1">
        <f>804*4715.45</f>
        <v>3791221.8</v>
      </c>
      <c r="G1730" s="1">
        <f>1693*4715.45</f>
        <v>7983256.8499999996</v>
      </c>
      <c r="H1730" s="1">
        <v>0</v>
      </c>
      <c r="I1730" s="1">
        <v>0</v>
      </c>
      <c r="J1730" s="1">
        <v>0</v>
      </c>
      <c r="K1730" s="1">
        <v>0</v>
      </c>
      <c r="L1730" s="2">
        <v>0</v>
      </c>
      <c r="M1730" s="1">
        <v>0</v>
      </c>
      <c r="N1730" s="1">
        <v>0</v>
      </c>
      <c r="O1730" s="1">
        <v>0</v>
      </c>
      <c r="P1730" s="1">
        <v>0</v>
      </c>
      <c r="Q1730" s="1">
        <v>0</v>
      </c>
      <c r="R1730" s="1">
        <v>1100</v>
      </c>
      <c r="S1730" s="1">
        <v>0</v>
      </c>
      <c r="T1730" s="1">
        <v>0</v>
      </c>
      <c r="U1730" s="1">
        <v>50000</v>
      </c>
      <c r="V1730" s="1">
        <v>0</v>
      </c>
      <c r="W1730" s="1">
        <v>0</v>
      </c>
      <c r="X1730" s="1">
        <v>0</v>
      </c>
      <c r="Y1730" s="1">
        <v>0</v>
      </c>
      <c r="Z1730" s="1">
        <v>0</v>
      </c>
      <c r="AA1730" s="1">
        <v>0</v>
      </c>
      <c r="AB1730" s="1">
        <v>0</v>
      </c>
      <c r="AC1730" s="1">
        <v>0</v>
      </c>
      <c r="AD1730" s="1">
        <v>0</v>
      </c>
    </row>
    <row r="1731" spans="1:30" s="20" customFormat="1" ht="36" customHeight="1" x14ac:dyDescent="0.25">
      <c r="A1731" s="2">
        <f t="shared" si="893"/>
        <v>1675</v>
      </c>
      <c r="B1731" s="6">
        <f t="shared" si="890"/>
        <v>1675</v>
      </c>
      <c r="C1731" s="19" t="s">
        <v>999</v>
      </c>
      <c r="D1731" s="4">
        <f t="shared" si="888"/>
        <v>16558174.340000002</v>
      </c>
      <c r="E1731" s="1">
        <f t="shared" si="883"/>
        <v>11728958.340000002</v>
      </c>
      <c r="F1731" s="1">
        <f>804*4697.22</f>
        <v>3776564.8800000004</v>
      </c>
      <c r="G1731" s="1">
        <f>1693*4697.22</f>
        <v>7952393.4600000009</v>
      </c>
      <c r="H1731" s="1">
        <v>0</v>
      </c>
      <c r="I1731" s="1">
        <v>0</v>
      </c>
      <c r="J1731" s="1">
        <v>0</v>
      </c>
      <c r="K1731" s="1">
        <v>0</v>
      </c>
      <c r="L1731" s="2">
        <v>0</v>
      </c>
      <c r="M1731" s="1">
        <v>0</v>
      </c>
      <c r="N1731" s="1">
        <v>962</v>
      </c>
      <c r="O1731" s="1">
        <f>N1731*4968</f>
        <v>4779216</v>
      </c>
      <c r="P1731" s="1">
        <v>0</v>
      </c>
      <c r="Q1731" s="1">
        <f t="shared" si="884"/>
        <v>0</v>
      </c>
      <c r="R1731" s="1">
        <v>0</v>
      </c>
      <c r="S1731" s="1">
        <f t="shared" si="886"/>
        <v>0</v>
      </c>
      <c r="T1731" s="1">
        <v>0</v>
      </c>
      <c r="U1731" s="1">
        <v>50000</v>
      </c>
      <c r="V1731" s="1">
        <v>0</v>
      </c>
      <c r="W1731" s="1">
        <v>0</v>
      </c>
      <c r="X1731" s="1">
        <v>0</v>
      </c>
      <c r="Y1731" s="1">
        <v>0</v>
      </c>
      <c r="Z1731" s="1">
        <v>0</v>
      </c>
      <c r="AA1731" s="1">
        <v>0</v>
      </c>
      <c r="AB1731" s="1">
        <v>0</v>
      </c>
      <c r="AC1731" s="1">
        <v>0</v>
      </c>
      <c r="AD1731" s="1">
        <v>0</v>
      </c>
    </row>
    <row r="1732" spans="1:30" s="20" customFormat="1" ht="36" customHeight="1" x14ac:dyDescent="0.25">
      <c r="A1732" s="2">
        <f t="shared" si="893"/>
        <v>1676</v>
      </c>
      <c r="B1732" s="3">
        <f t="shared" si="890"/>
        <v>1676</v>
      </c>
      <c r="C1732" s="30" t="s">
        <v>1492</v>
      </c>
      <c r="D1732" s="4">
        <f t="shared" si="888"/>
        <v>15754200</v>
      </c>
      <c r="E1732" s="1">
        <f t="shared" si="883"/>
        <v>0</v>
      </c>
      <c r="F1732" s="1">
        <v>0</v>
      </c>
      <c r="G1732" s="1">
        <v>0</v>
      </c>
      <c r="H1732" s="1">
        <v>0</v>
      </c>
      <c r="I1732" s="1">
        <v>0</v>
      </c>
      <c r="J1732" s="1">
        <v>0</v>
      </c>
      <c r="K1732" s="1">
        <v>0</v>
      </c>
      <c r="L1732" s="2">
        <v>0</v>
      </c>
      <c r="M1732" s="1">
        <v>0</v>
      </c>
      <c r="N1732" s="1">
        <v>0</v>
      </c>
      <c r="O1732" s="1">
        <f>N1732*4968</f>
        <v>0</v>
      </c>
      <c r="P1732" s="1">
        <v>0</v>
      </c>
      <c r="Q1732" s="1">
        <f t="shared" si="884"/>
        <v>0</v>
      </c>
      <c r="R1732" s="1">
        <v>4200</v>
      </c>
      <c r="S1732" s="1">
        <f t="shared" si="886"/>
        <v>15754200</v>
      </c>
      <c r="T1732" s="1">
        <v>0</v>
      </c>
      <c r="U1732" s="1">
        <v>0</v>
      </c>
      <c r="V1732" s="1">
        <v>0</v>
      </c>
      <c r="W1732" s="1">
        <v>0</v>
      </c>
      <c r="X1732" s="1">
        <v>0</v>
      </c>
      <c r="Y1732" s="1">
        <v>0</v>
      </c>
      <c r="Z1732" s="1">
        <v>0</v>
      </c>
      <c r="AA1732" s="1">
        <v>0</v>
      </c>
      <c r="AB1732" s="1">
        <v>0</v>
      </c>
      <c r="AC1732" s="1">
        <v>0</v>
      </c>
      <c r="AD1732" s="1">
        <v>0</v>
      </c>
    </row>
    <row r="1733" spans="1:30" s="20" customFormat="1" ht="36" customHeight="1" x14ac:dyDescent="0.25">
      <c r="A1733" s="2">
        <f t="shared" si="893"/>
        <v>1677</v>
      </c>
      <c r="B1733" s="6">
        <f t="shared" ref="B1733" si="894">A1733</f>
        <v>1677</v>
      </c>
      <c r="C1733" s="19" t="s">
        <v>1879</v>
      </c>
      <c r="D1733" s="4">
        <f t="shared" si="888"/>
        <v>17700000</v>
      </c>
      <c r="E1733" s="1">
        <f t="shared" ref="E1733" si="895">SUM(F1733:K1733)</f>
        <v>0</v>
      </c>
      <c r="F1733" s="1">
        <v>0</v>
      </c>
      <c r="G1733" s="1">
        <v>0</v>
      </c>
      <c r="H1733" s="1">
        <v>0</v>
      </c>
      <c r="I1733" s="1">
        <v>0</v>
      </c>
      <c r="J1733" s="1">
        <v>0</v>
      </c>
      <c r="K1733" s="1">
        <v>0</v>
      </c>
      <c r="L1733" s="2">
        <v>5</v>
      </c>
      <c r="M1733" s="1">
        <f>L1733*3500000</f>
        <v>17500000</v>
      </c>
      <c r="N1733" s="1">
        <v>0</v>
      </c>
      <c r="O1733" s="1">
        <f>N1733*4968</f>
        <v>0</v>
      </c>
      <c r="P1733" s="1">
        <v>0</v>
      </c>
      <c r="Q1733" s="1">
        <f t="shared" ref="Q1733" si="896">P1733*1400</f>
        <v>0</v>
      </c>
      <c r="R1733" s="1">
        <v>0</v>
      </c>
      <c r="S1733" s="1">
        <f t="shared" si="886"/>
        <v>0</v>
      </c>
      <c r="T1733" s="1">
        <v>0</v>
      </c>
      <c r="U1733" s="1">
        <v>200000</v>
      </c>
      <c r="V1733" s="1">
        <v>0</v>
      </c>
      <c r="W1733" s="1">
        <v>0</v>
      </c>
      <c r="X1733" s="1">
        <v>0</v>
      </c>
      <c r="Y1733" s="1">
        <v>0</v>
      </c>
      <c r="Z1733" s="1">
        <v>0</v>
      </c>
      <c r="AA1733" s="1">
        <v>0</v>
      </c>
      <c r="AB1733" s="1">
        <v>0</v>
      </c>
      <c r="AC1733" s="1">
        <v>0</v>
      </c>
      <c r="AD1733" s="1">
        <v>0</v>
      </c>
    </row>
    <row r="1734" spans="1:30" s="20" customFormat="1" ht="36" customHeight="1" x14ac:dyDescent="0.25">
      <c r="A1734" s="2">
        <f t="shared" si="893"/>
        <v>1678</v>
      </c>
      <c r="B1734" s="6">
        <f t="shared" si="890"/>
        <v>1678</v>
      </c>
      <c r="C1734" s="19" t="s">
        <v>1006</v>
      </c>
      <c r="D1734" s="4">
        <f t="shared" si="888"/>
        <v>9851424.1600000001</v>
      </c>
      <c r="E1734" s="1">
        <f t="shared" si="883"/>
        <v>9801424.1600000001</v>
      </c>
      <c r="F1734" s="1">
        <f>804*3925.28</f>
        <v>3155925.12</v>
      </c>
      <c r="G1734" s="1">
        <f>1693*3925.28</f>
        <v>6645499.04</v>
      </c>
      <c r="H1734" s="1">
        <v>0</v>
      </c>
      <c r="I1734" s="1">
        <v>0</v>
      </c>
      <c r="J1734" s="1">
        <v>0</v>
      </c>
      <c r="K1734" s="1">
        <v>0</v>
      </c>
      <c r="L1734" s="2">
        <v>0</v>
      </c>
      <c r="M1734" s="1">
        <v>0</v>
      </c>
      <c r="N1734" s="1">
        <v>0</v>
      </c>
      <c r="O1734" s="1">
        <v>0</v>
      </c>
      <c r="P1734" s="1">
        <v>0</v>
      </c>
      <c r="Q1734" s="1">
        <v>0</v>
      </c>
      <c r="R1734" s="1">
        <v>0</v>
      </c>
      <c r="S1734" s="1">
        <v>0</v>
      </c>
      <c r="T1734" s="1">
        <v>0</v>
      </c>
      <c r="U1734" s="1">
        <v>50000</v>
      </c>
      <c r="V1734" s="1">
        <v>0</v>
      </c>
      <c r="W1734" s="1">
        <v>0</v>
      </c>
      <c r="X1734" s="1">
        <v>0</v>
      </c>
      <c r="Y1734" s="1">
        <v>0</v>
      </c>
      <c r="Z1734" s="1">
        <v>0</v>
      </c>
      <c r="AA1734" s="1">
        <v>0</v>
      </c>
      <c r="AB1734" s="1">
        <v>0</v>
      </c>
      <c r="AC1734" s="1">
        <v>0</v>
      </c>
      <c r="AD1734" s="1">
        <v>0</v>
      </c>
    </row>
    <row r="1735" spans="1:30" s="20" customFormat="1" ht="36" customHeight="1" x14ac:dyDescent="0.25">
      <c r="A1735" s="2">
        <f t="shared" si="893"/>
        <v>1679</v>
      </c>
      <c r="B1735" s="6">
        <f>A1735</f>
        <v>1679</v>
      </c>
      <c r="C1735" s="19" t="s">
        <v>1015</v>
      </c>
      <c r="D1735" s="4">
        <f t="shared" si="888"/>
        <v>4723785</v>
      </c>
      <c r="E1735" s="1">
        <f>SUM(F1735:K1735)</f>
        <v>2748285</v>
      </c>
      <c r="F1735" s="1">
        <f>804*700.2</f>
        <v>562960.80000000005</v>
      </c>
      <c r="G1735" s="1">
        <f>1693*700.2</f>
        <v>1185438.6000000001</v>
      </c>
      <c r="H1735" s="1">
        <f>390*700.2</f>
        <v>273078</v>
      </c>
      <c r="I1735" s="1">
        <f>571*700.2</f>
        <v>399814.2</v>
      </c>
      <c r="J1735" s="1">
        <f>467*700.2</f>
        <v>326993.40000000002</v>
      </c>
      <c r="K1735" s="1">
        <v>0</v>
      </c>
      <c r="L1735" s="2">
        <v>0</v>
      </c>
      <c r="M1735" s="1">
        <v>0</v>
      </c>
      <c r="N1735" s="1">
        <v>0</v>
      </c>
      <c r="O1735" s="1">
        <v>0</v>
      </c>
      <c r="P1735" s="1">
        <v>0</v>
      </c>
      <c r="Q1735" s="1">
        <f>P1735*1400</f>
        <v>0</v>
      </c>
      <c r="R1735" s="1">
        <v>500</v>
      </c>
      <c r="S1735" s="1">
        <f>R1735*3751</f>
        <v>1875500</v>
      </c>
      <c r="T1735" s="1">
        <v>0</v>
      </c>
      <c r="U1735" s="1">
        <v>50000</v>
      </c>
      <c r="V1735" s="1">
        <v>0</v>
      </c>
      <c r="W1735" s="1">
        <v>50000</v>
      </c>
      <c r="X1735" s="1">
        <v>0</v>
      </c>
      <c r="Y1735" s="1">
        <v>0</v>
      </c>
      <c r="Z1735" s="1">
        <v>0</v>
      </c>
      <c r="AA1735" s="1">
        <v>0</v>
      </c>
      <c r="AB1735" s="1">
        <v>0</v>
      </c>
      <c r="AC1735" s="1">
        <v>0</v>
      </c>
      <c r="AD1735" s="1">
        <v>0</v>
      </c>
    </row>
    <row r="1736" spans="1:30" s="20" customFormat="1" ht="36" customHeight="1" x14ac:dyDescent="0.25">
      <c r="A1736" s="2">
        <f t="shared" si="893"/>
        <v>1680</v>
      </c>
      <c r="B1736" s="6">
        <f>A1736</f>
        <v>1680</v>
      </c>
      <c r="C1736" s="19" t="s">
        <v>1016</v>
      </c>
      <c r="D1736" s="4">
        <f t="shared" si="888"/>
        <v>3189344</v>
      </c>
      <c r="E1736" s="1">
        <f>SUM(F1736:K1736)</f>
        <v>3139344</v>
      </c>
      <c r="F1736" s="1">
        <f>804*936</f>
        <v>752544</v>
      </c>
      <c r="G1736" s="1">
        <f>1693*936</f>
        <v>1584648</v>
      </c>
      <c r="H1736" s="1">
        <f>390*936</f>
        <v>365040</v>
      </c>
      <c r="I1736" s="1">
        <v>0</v>
      </c>
      <c r="J1736" s="1">
        <f>467*936</f>
        <v>437112</v>
      </c>
      <c r="K1736" s="1">
        <v>0</v>
      </c>
      <c r="L1736" s="2">
        <v>0</v>
      </c>
      <c r="M1736" s="1">
        <v>0</v>
      </c>
      <c r="N1736" s="1">
        <v>0</v>
      </c>
      <c r="O1736" s="1">
        <v>0</v>
      </c>
      <c r="P1736" s="1">
        <v>0</v>
      </c>
      <c r="Q1736" s="1">
        <f>P1736*1400</f>
        <v>0</v>
      </c>
      <c r="R1736" s="1">
        <v>0</v>
      </c>
      <c r="S1736" s="1">
        <f>R1736*3751</f>
        <v>0</v>
      </c>
      <c r="T1736" s="1">
        <v>0</v>
      </c>
      <c r="U1736" s="1">
        <v>50000</v>
      </c>
      <c r="V1736" s="1">
        <v>0</v>
      </c>
      <c r="W1736" s="1">
        <v>0</v>
      </c>
      <c r="X1736" s="1">
        <v>0</v>
      </c>
      <c r="Y1736" s="1">
        <v>0</v>
      </c>
      <c r="Z1736" s="1">
        <v>0</v>
      </c>
      <c r="AA1736" s="1">
        <v>0</v>
      </c>
      <c r="AB1736" s="1">
        <v>0</v>
      </c>
      <c r="AC1736" s="1">
        <v>0</v>
      </c>
      <c r="AD1736" s="1">
        <v>0</v>
      </c>
    </row>
    <row r="1737" spans="1:30" s="20" customFormat="1" ht="36" customHeight="1" x14ac:dyDescent="0.25">
      <c r="A1737" s="2">
        <f t="shared" si="893"/>
        <v>1681</v>
      </c>
      <c r="B1737" s="6">
        <f>A1737</f>
        <v>1681</v>
      </c>
      <c r="C1737" s="19" t="s">
        <v>1017</v>
      </c>
      <c r="D1737" s="4">
        <f t="shared" si="888"/>
        <v>2205857.33</v>
      </c>
      <c r="E1737" s="1">
        <f>SUM(F1737:K1737)</f>
        <v>843007.33</v>
      </c>
      <c r="F1737" s="1">
        <f>804*507.53</f>
        <v>408054.12</v>
      </c>
      <c r="G1737" s="1">
        <v>0</v>
      </c>
      <c r="H1737" s="1">
        <f>390*507.53</f>
        <v>197936.69999999998</v>
      </c>
      <c r="I1737" s="1">
        <v>0</v>
      </c>
      <c r="J1737" s="1">
        <f>467*507.53</f>
        <v>237016.50999999998</v>
      </c>
      <c r="K1737" s="1">
        <v>0</v>
      </c>
      <c r="L1737" s="2">
        <v>0</v>
      </c>
      <c r="M1737" s="1">
        <v>0</v>
      </c>
      <c r="N1737" s="1">
        <v>0</v>
      </c>
      <c r="O1737" s="1">
        <v>0</v>
      </c>
      <c r="P1737" s="1">
        <v>0</v>
      </c>
      <c r="Q1737" s="1">
        <f>P1737*1400</f>
        <v>0</v>
      </c>
      <c r="R1737" s="1">
        <v>350</v>
      </c>
      <c r="S1737" s="1">
        <f>R1737*3751</f>
        <v>1312850</v>
      </c>
      <c r="T1737" s="1">
        <v>0</v>
      </c>
      <c r="U1737" s="1">
        <v>50000</v>
      </c>
      <c r="V1737" s="1">
        <v>0</v>
      </c>
      <c r="W1737" s="1">
        <v>0</v>
      </c>
      <c r="X1737" s="1">
        <v>0</v>
      </c>
      <c r="Y1737" s="1">
        <v>0</v>
      </c>
      <c r="Z1737" s="1">
        <v>0</v>
      </c>
      <c r="AA1737" s="1">
        <v>0</v>
      </c>
      <c r="AB1737" s="1">
        <v>0</v>
      </c>
      <c r="AC1737" s="1">
        <v>0</v>
      </c>
      <c r="AD1737" s="1">
        <v>0</v>
      </c>
    </row>
    <row r="1738" spans="1:30" s="20" customFormat="1" ht="36" customHeight="1" x14ac:dyDescent="0.25">
      <c r="A1738" s="2">
        <f t="shared" si="893"/>
        <v>1682</v>
      </c>
      <c r="B1738" s="6">
        <f t="shared" si="890"/>
        <v>1682</v>
      </c>
      <c r="C1738" s="19" t="s">
        <v>1007</v>
      </c>
      <c r="D1738" s="4">
        <f t="shared" si="888"/>
        <v>5696721.75</v>
      </c>
      <c r="E1738" s="1">
        <f t="shared" si="883"/>
        <v>3766233.7499999995</v>
      </c>
      <c r="F1738" s="1">
        <f>804*959.55</f>
        <v>771478.2</v>
      </c>
      <c r="G1738" s="1">
        <f>1693*959.55</f>
        <v>1624518.15</v>
      </c>
      <c r="H1738" s="1">
        <f>390*959.55</f>
        <v>374224.5</v>
      </c>
      <c r="I1738" s="1">
        <f>571*959.55</f>
        <v>547903.04999999993</v>
      </c>
      <c r="J1738" s="1">
        <f>467*959.55</f>
        <v>448109.85</v>
      </c>
      <c r="K1738" s="1">
        <v>0</v>
      </c>
      <c r="L1738" s="2">
        <v>0</v>
      </c>
      <c r="M1738" s="1">
        <v>0</v>
      </c>
      <c r="N1738" s="1">
        <v>0</v>
      </c>
      <c r="O1738" s="1">
        <v>0</v>
      </c>
      <c r="P1738" s="1">
        <v>0</v>
      </c>
      <c r="Q1738" s="1">
        <f t="shared" si="884"/>
        <v>0</v>
      </c>
      <c r="R1738" s="1">
        <v>488</v>
      </c>
      <c r="S1738" s="1">
        <f t="shared" si="886"/>
        <v>1830488</v>
      </c>
      <c r="T1738" s="1">
        <v>0</v>
      </c>
      <c r="U1738" s="1">
        <v>50000</v>
      </c>
      <c r="V1738" s="1">
        <v>0</v>
      </c>
      <c r="W1738" s="1">
        <v>50000</v>
      </c>
      <c r="X1738" s="1">
        <v>0</v>
      </c>
      <c r="Y1738" s="1">
        <v>0</v>
      </c>
      <c r="Z1738" s="1">
        <v>0</v>
      </c>
      <c r="AA1738" s="1">
        <v>0</v>
      </c>
      <c r="AB1738" s="1">
        <v>0</v>
      </c>
      <c r="AC1738" s="1">
        <v>0</v>
      </c>
      <c r="AD1738" s="1">
        <v>0</v>
      </c>
    </row>
    <row r="1739" spans="1:30" s="20" customFormat="1" ht="36" customHeight="1" x14ac:dyDescent="0.25">
      <c r="A1739" s="2">
        <f t="shared" si="893"/>
        <v>1683</v>
      </c>
      <c r="B1739" s="6">
        <f t="shared" si="890"/>
        <v>1683</v>
      </c>
      <c r="C1739" s="19" t="s">
        <v>1008</v>
      </c>
      <c r="D1739" s="4">
        <f t="shared" si="888"/>
        <v>4666646.5399999991</v>
      </c>
      <c r="E1739" s="1">
        <f t="shared" si="883"/>
        <v>2816166.5399999996</v>
      </c>
      <c r="F1739" s="1">
        <f>804*1127.82</f>
        <v>906767.27999999991</v>
      </c>
      <c r="G1739" s="1">
        <f>1693*1127.82</f>
        <v>1909399.2599999998</v>
      </c>
      <c r="H1739" s="1">
        <v>0</v>
      </c>
      <c r="I1739" s="1">
        <v>0</v>
      </c>
      <c r="J1739" s="1">
        <v>0</v>
      </c>
      <c r="K1739" s="1">
        <v>0</v>
      </c>
      <c r="L1739" s="2">
        <v>0</v>
      </c>
      <c r="M1739" s="1">
        <v>0</v>
      </c>
      <c r="N1739" s="1">
        <v>0</v>
      </c>
      <c r="O1739" s="1">
        <v>0</v>
      </c>
      <c r="P1739" s="1">
        <v>0</v>
      </c>
      <c r="Q1739" s="1">
        <f t="shared" si="884"/>
        <v>0</v>
      </c>
      <c r="R1739" s="1">
        <v>480</v>
      </c>
      <c r="S1739" s="1">
        <f t="shared" si="886"/>
        <v>1800480</v>
      </c>
      <c r="T1739" s="1">
        <v>0</v>
      </c>
      <c r="U1739" s="1">
        <v>50000</v>
      </c>
      <c r="V1739" s="1">
        <v>0</v>
      </c>
      <c r="W1739" s="1">
        <v>0</v>
      </c>
      <c r="X1739" s="1">
        <v>0</v>
      </c>
      <c r="Y1739" s="1">
        <v>0</v>
      </c>
      <c r="Z1739" s="1">
        <v>0</v>
      </c>
      <c r="AA1739" s="1">
        <v>0</v>
      </c>
      <c r="AB1739" s="1">
        <v>0</v>
      </c>
      <c r="AC1739" s="1">
        <v>0</v>
      </c>
      <c r="AD1739" s="1">
        <v>0</v>
      </c>
    </row>
    <row r="1740" spans="1:30" s="20" customFormat="1" ht="36" customHeight="1" x14ac:dyDescent="0.25">
      <c r="A1740" s="2">
        <f t="shared" si="893"/>
        <v>1684</v>
      </c>
      <c r="B1740" s="6">
        <f t="shared" si="890"/>
        <v>1684</v>
      </c>
      <c r="C1740" s="19" t="s">
        <v>1009</v>
      </c>
      <c r="D1740" s="4">
        <f t="shared" si="888"/>
        <v>1745447</v>
      </c>
      <c r="E1740" s="1">
        <f t="shared" si="883"/>
        <v>1695447</v>
      </c>
      <c r="F1740" s="1">
        <f>804*505.5</f>
        <v>406422</v>
      </c>
      <c r="G1740" s="1">
        <f>1693*505.5</f>
        <v>855811.5</v>
      </c>
      <c r="H1740" s="1">
        <f>390*505.5</f>
        <v>197145</v>
      </c>
      <c r="I1740" s="1">
        <v>0</v>
      </c>
      <c r="J1740" s="1">
        <f>467*505.5</f>
        <v>236068.5</v>
      </c>
      <c r="K1740" s="1">
        <v>0</v>
      </c>
      <c r="L1740" s="2">
        <v>0</v>
      </c>
      <c r="M1740" s="1">
        <v>0</v>
      </c>
      <c r="N1740" s="1">
        <v>0</v>
      </c>
      <c r="O1740" s="1">
        <v>0</v>
      </c>
      <c r="P1740" s="1">
        <v>0</v>
      </c>
      <c r="Q1740" s="1">
        <f t="shared" si="884"/>
        <v>0</v>
      </c>
      <c r="R1740" s="1">
        <v>0</v>
      </c>
      <c r="S1740" s="1">
        <f t="shared" ref="S1740:S1742" si="897">R1740*3751</f>
        <v>0</v>
      </c>
      <c r="T1740" s="1">
        <v>0</v>
      </c>
      <c r="U1740" s="1">
        <v>50000</v>
      </c>
      <c r="V1740" s="1">
        <v>0</v>
      </c>
      <c r="W1740" s="1">
        <v>0</v>
      </c>
      <c r="X1740" s="1">
        <v>0</v>
      </c>
      <c r="Y1740" s="1">
        <v>0</v>
      </c>
      <c r="Z1740" s="1">
        <v>0</v>
      </c>
      <c r="AA1740" s="1">
        <v>0</v>
      </c>
      <c r="AB1740" s="1">
        <v>0</v>
      </c>
      <c r="AC1740" s="1">
        <v>0</v>
      </c>
      <c r="AD1740" s="1">
        <v>0</v>
      </c>
    </row>
    <row r="1741" spans="1:30" s="20" customFormat="1" ht="36" customHeight="1" x14ac:dyDescent="0.25">
      <c r="A1741" s="2">
        <f t="shared" si="893"/>
        <v>1685</v>
      </c>
      <c r="B1741" s="6">
        <f t="shared" si="890"/>
        <v>1685</v>
      </c>
      <c r="C1741" s="19" t="s">
        <v>1010</v>
      </c>
      <c r="D1741" s="4">
        <f t="shared" si="888"/>
        <v>3894497.75</v>
      </c>
      <c r="E1741" s="1">
        <f t="shared" si="883"/>
        <v>1994017.7499999998</v>
      </c>
      <c r="F1741" s="1">
        <f>804*508.03</f>
        <v>408456.12</v>
      </c>
      <c r="G1741" s="1">
        <f>1693*508.03</f>
        <v>860094.78999999992</v>
      </c>
      <c r="H1741" s="1">
        <f>390*508.03</f>
        <v>198131.69999999998</v>
      </c>
      <c r="I1741" s="1">
        <f>571*508.03</f>
        <v>290085.13</v>
      </c>
      <c r="J1741" s="1">
        <f>467*508.03</f>
        <v>237250.00999999998</v>
      </c>
      <c r="K1741" s="1">
        <v>0</v>
      </c>
      <c r="L1741" s="2">
        <v>0</v>
      </c>
      <c r="M1741" s="1">
        <v>0</v>
      </c>
      <c r="N1741" s="1">
        <v>0</v>
      </c>
      <c r="O1741" s="1">
        <v>0</v>
      </c>
      <c r="P1741" s="1">
        <v>0</v>
      </c>
      <c r="Q1741" s="1">
        <f>P1741*1400</f>
        <v>0</v>
      </c>
      <c r="R1741" s="1">
        <v>480</v>
      </c>
      <c r="S1741" s="1">
        <f t="shared" si="897"/>
        <v>1800480</v>
      </c>
      <c r="T1741" s="1">
        <v>0</v>
      </c>
      <c r="U1741" s="1">
        <v>50000</v>
      </c>
      <c r="V1741" s="1">
        <v>0</v>
      </c>
      <c r="W1741" s="1">
        <v>50000</v>
      </c>
      <c r="X1741" s="1">
        <v>0</v>
      </c>
      <c r="Y1741" s="1">
        <v>0</v>
      </c>
      <c r="Z1741" s="1">
        <v>0</v>
      </c>
      <c r="AA1741" s="1">
        <v>0</v>
      </c>
      <c r="AB1741" s="1">
        <v>0</v>
      </c>
      <c r="AC1741" s="1">
        <v>0</v>
      </c>
      <c r="AD1741" s="1">
        <v>0</v>
      </c>
    </row>
    <row r="1742" spans="1:30" s="20" customFormat="1" ht="36" customHeight="1" x14ac:dyDescent="0.25">
      <c r="A1742" s="2">
        <f t="shared" si="893"/>
        <v>1686</v>
      </c>
      <c r="B1742" s="6">
        <f t="shared" si="890"/>
        <v>1686</v>
      </c>
      <c r="C1742" s="19" t="s">
        <v>1012</v>
      </c>
      <c r="D1742" s="4">
        <f t="shared" si="888"/>
        <v>1517613.67</v>
      </c>
      <c r="E1742" s="1">
        <f t="shared" si="883"/>
        <v>1417613.67</v>
      </c>
      <c r="F1742" s="1">
        <f>804*853.47</f>
        <v>686189.88</v>
      </c>
      <c r="G1742" s="1">
        <v>0</v>
      </c>
      <c r="H1742" s="1">
        <f>390*853.47</f>
        <v>332853.3</v>
      </c>
      <c r="I1742" s="1">
        <v>0</v>
      </c>
      <c r="J1742" s="1">
        <f>467*853.47</f>
        <v>398570.49</v>
      </c>
      <c r="K1742" s="1">
        <v>0</v>
      </c>
      <c r="L1742" s="2">
        <v>0</v>
      </c>
      <c r="M1742" s="1">
        <v>0</v>
      </c>
      <c r="N1742" s="1">
        <v>0</v>
      </c>
      <c r="O1742" s="1">
        <v>0</v>
      </c>
      <c r="P1742" s="1">
        <v>0</v>
      </c>
      <c r="Q1742" s="1">
        <f t="shared" si="884"/>
        <v>0</v>
      </c>
      <c r="R1742" s="1">
        <v>0</v>
      </c>
      <c r="S1742" s="1">
        <f t="shared" si="897"/>
        <v>0</v>
      </c>
      <c r="T1742" s="1">
        <v>0</v>
      </c>
      <c r="U1742" s="1">
        <v>50000</v>
      </c>
      <c r="V1742" s="1">
        <v>0</v>
      </c>
      <c r="W1742" s="1">
        <v>50000</v>
      </c>
      <c r="X1742" s="1">
        <v>0</v>
      </c>
      <c r="Y1742" s="1">
        <v>0</v>
      </c>
      <c r="Z1742" s="1">
        <v>0</v>
      </c>
      <c r="AA1742" s="1">
        <v>0</v>
      </c>
      <c r="AB1742" s="1">
        <v>0</v>
      </c>
      <c r="AC1742" s="1">
        <v>0</v>
      </c>
      <c r="AD1742" s="1">
        <v>0</v>
      </c>
    </row>
    <row r="1743" spans="1:30" s="20" customFormat="1" ht="36" customHeight="1" x14ac:dyDescent="0.25">
      <c r="A1743" s="2">
        <f t="shared" si="893"/>
        <v>1687</v>
      </c>
      <c r="B1743" s="6">
        <f t="shared" si="890"/>
        <v>1687</v>
      </c>
      <c r="C1743" s="19" t="s">
        <v>1018</v>
      </c>
      <c r="D1743" s="4">
        <f t="shared" si="888"/>
        <v>22265717.75</v>
      </c>
      <c r="E1743" s="1">
        <f t="shared" si="883"/>
        <v>16351667.749999998</v>
      </c>
      <c r="F1743" s="1">
        <f>804*4166.03</f>
        <v>3349488.1199999996</v>
      </c>
      <c r="G1743" s="1">
        <f>1693*4166.03</f>
        <v>7053088.7899999991</v>
      </c>
      <c r="H1743" s="1">
        <f>390*4166.03</f>
        <v>1624751.7</v>
      </c>
      <c r="I1743" s="1">
        <f>571*4166.03</f>
        <v>2378803.13</v>
      </c>
      <c r="J1743" s="1">
        <f>467*4166.03</f>
        <v>1945536.0099999998</v>
      </c>
      <c r="K1743" s="1">
        <v>0</v>
      </c>
      <c r="L1743" s="2">
        <v>0</v>
      </c>
      <c r="M1743" s="1">
        <v>0</v>
      </c>
      <c r="N1743" s="1">
        <v>0</v>
      </c>
      <c r="O1743" s="1">
        <v>0</v>
      </c>
      <c r="P1743" s="1">
        <v>0</v>
      </c>
      <c r="Q1743" s="1">
        <f t="shared" si="884"/>
        <v>0</v>
      </c>
      <c r="R1743" s="1">
        <v>1550</v>
      </c>
      <c r="S1743" s="1">
        <f t="shared" ref="S1743:S1773" si="898">R1743*3751</f>
        <v>5814050</v>
      </c>
      <c r="T1743" s="1">
        <v>0</v>
      </c>
      <c r="U1743" s="1">
        <v>50000</v>
      </c>
      <c r="V1743" s="1">
        <v>0</v>
      </c>
      <c r="W1743" s="1">
        <v>50000</v>
      </c>
      <c r="X1743" s="1">
        <v>0</v>
      </c>
      <c r="Y1743" s="1">
        <v>0</v>
      </c>
      <c r="Z1743" s="1">
        <v>0</v>
      </c>
      <c r="AA1743" s="1">
        <v>0</v>
      </c>
      <c r="AB1743" s="1">
        <v>0</v>
      </c>
      <c r="AC1743" s="1">
        <v>0</v>
      </c>
      <c r="AD1743" s="1">
        <v>0</v>
      </c>
    </row>
    <row r="1744" spans="1:30" s="20" customFormat="1" ht="36" customHeight="1" x14ac:dyDescent="0.25">
      <c r="A1744" s="2">
        <f t="shared" si="893"/>
        <v>1688</v>
      </c>
      <c r="B1744" s="6">
        <f t="shared" si="890"/>
        <v>1688</v>
      </c>
      <c r="C1744" s="19" t="s">
        <v>1019</v>
      </c>
      <c r="D1744" s="4">
        <f t="shared" si="888"/>
        <v>22752496.250000004</v>
      </c>
      <c r="E1744" s="1">
        <f t="shared" si="883"/>
        <v>16838446.250000004</v>
      </c>
      <c r="F1744" s="1">
        <f>804*4290.05</f>
        <v>3449200.2</v>
      </c>
      <c r="G1744" s="1">
        <f>1693*4290.05</f>
        <v>7263054.6500000004</v>
      </c>
      <c r="H1744" s="1">
        <f>390*4290.05</f>
        <v>1673119.5</v>
      </c>
      <c r="I1744" s="1">
        <f>571*4290.05</f>
        <v>2449618.5500000003</v>
      </c>
      <c r="J1744" s="1">
        <f>467*4290.05</f>
        <v>2003453.35</v>
      </c>
      <c r="K1744" s="1">
        <v>0</v>
      </c>
      <c r="L1744" s="2">
        <v>0</v>
      </c>
      <c r="M1744" s="1">
        <v>0</v>
      </c>
      <c r="N1744" s="1">
        <v>0</v>
      </c>
      <c r="O1744" s="1">
        <v>0</v>
      </c>
      <c r="P1744" s="1">
        <v>0</v>
      </c>
      <c r="Q1744" s="1">
        <f t="shared" si="884"/>
        <v>0</v>
      </c>
      <c r="R1744" s="1">
        <v>1550</v>
      </c>
      <c r="S1744" s="1">
        <f t="shared" si="898"/>
        <v>5814050</v>
      </c>
      <c r="T1744" s="1">
        <v>0</v>
      </c>
      <c r="U1744" s="1">
        <v>50000</v>
      </c>
      <c r="V1744" s="1">
        <v>0</v>
      </c>
      <c r="W1744" s="1">
        <v>50000</v>
      </c>
      <c r="X1744" s="1">
        <v>0</v>
      </c>
      <c r="Y1744" s="1">
        <v>0</v>
      </c>
      <c r="Z1744" s="1">
        <v>0</v>
      </c>
      <c r="AA1744" s="1">
        <v>0</v>
      </c>
      <c r="AB1744" s="1">
        <v>0</v>
      </c>
      <c r="AC1744" s="1">
        <v>0</v>
      </c>
      <c r="AD1744" s="1">
        <v>0</v>
      </c>
    </row>
    <row r="1745" spans="1:30" s="20" customFormat="1" ht="36" customHeight="1" x14ac:dyDescent="0.25">
      <c r="A1745" s="2">
        <f t="shared" si="893"/>
        <v>1689</v>
      </c>
      <c r="B1745" s="6">
        <f>A1745</f>
        <v>1689</v>
      </c>
      <c r="C1745" s="19" t="s">
        <v>472</v>
      </c>
      <c r="D1745" s="4">
        <f t="shared" si="888"/>
        <v>8255335</v>
      </c>
      <c r="E1745" s="1">
        <f t="shared" si="883"/>
        <v>3604935</v>
      </c>
      <c r="F1745" s="1">
        <v>0</v>
      </c>
      <c r="G1745" s="1">
        <f>1693*1413.7</f>
        <v>2393394.1</v>
      </c>
      <c r="H1745" s="1">
        <f>390*1413.7</f>
        <v>551343</v>
      </c>
      <c r="I1745" s="1">
        <v>0</v>
      </c>
      <c r="J1745" s="1">
        <f>467*1413.7</f>
        <v>660197.9</v>
      </c>
      <c r="K1745" s="1">
        <v>0</v>
      </c>
      <c r="L1745" s="2">
        <v>0</v>
      </c>
      <c r="M1745" s="1">
        <v>0</v>
      </c>
      <c r="N1745" s="1">
        <v>400</v>
      </c>
      <c r="O1745" s="1">
        <f>N1745*7750</f>
        <v>3100000</v>
      </c>
      <c r="P1745" s="1">
        <v>0</v>
      </c>
      <c r="Q1745" s="1">
        <f t="shared" si="884"/>
        <v>0</v>
      </c>
      <c r="R1745" s="1">
        <v>400</v>
      </c>
      <c r="S1745" s="1">
        <f t="shared" si="898"/>
        <v>1500400</v>
      </c>
      <c r="T1745" s="1">
        <v>0</v>
      </c>
      <c r="U1745" s="1">
        <v>50000</v>
      </c>
      <c r="V1745" s="1">
        <v>0</v>
      </c>
      <c r="W1745" s="1">
        <v>0</v>
      </c>
      <c r="X1745" s="1">
        <v>0</v>
      </c>
      <c r="Y1745" s="1">
        <v>0</v>
      </c>
      <c r="Z1745" s="1">
        <v>0</v>
      </c>
      <c r="AA1745" s="1">
        <v>0</v>
      </c>
      <c r="AB1745" s="1">
        <v>0</v>
      </c>
      <c r="AC1745" s="1">
        <v>0</v>
      </c>
      <c r="AD1745" s="1">
        <v>0</v>
      </c>
    </row>
    <row r="1746" spans="1:30" s="20" customFormat="1" ht="36" customHeight="1" x14ac:dyDescent="0.25">
      <c r="A1746" s="2">
        <f t="shared" si="893"/>
        <v>1690</v>
      </c>
      <c r="B1746" s="6">
        <f t="shared" si="890"/>
        <v>1690</v>
      </c>
      <c r="C1746" s="19" t="s">
        <v>1020</v>
      </c>
      <c r="D1746" s="4">
        <f t="shared" si="888"/>
        <v>12794483.5</v>
      </c>
      <c r="E1746" s="1">
        <f t="shared" si="883"/>
        <v>6161543.5</v>
      </c>
      <c r="F1746" s="1">
        <f>804*1569.82</f>
        <v>1262135.28</v>
      </c>
      <c r="G1746" s="1">
        <f>1693*1569.82</f>
        <v>2657705.2599999998</v>
      </c>
      <c r="H1746" s="1">
        <f>390*1569.82</f>
        <v>612229.79999999993</v>
      </c>
      <c r="I1746" s="1">
        <f>571*1569.82</f>
        <v>896367.22</v>
      </c>
      <c r="J1746" s="1">
        <f>467*1569.82</f>
        <v>733105.94</v>
      </c>
      <c r="K1746" s="1">
        <v>0</v>
      </c>
      <c r="L1746" s="2">
        <v>0</v>
      </c>
      <c r="M1746" s="1">
        <v>0</v>
      </c>
      <c r="N1746" s="1">
        <v>630</v>
      </c>
      <c r="O1746" s="1">
        <f>N1746*7750</f>
        <v>4882500</v>
      </c>
      <c r="P1746" s="1">
        <v>0</v>
      </c>
      <c r="Q1746" s="1">
        <f t="shared" ref="Q1746:Q1778" si="899">P1746*1400</f>
        <v>0</v>
      </c>
      <c r="R1746" s="1">
        <v>440</v>
      </c>
      <c r="S1746" s="1">
        <f t="shared" si="898"/>
        <v>1650440</v>
      </c>
      <c r="T1746" s="1">
        <v>0</v>
      </c>
      <c r="U1746" s="1">
        <v>50000</v>
      </c>
      <c r="V1746" s="1">
        <v>0</v>
      </c>
      <c r="W1746" s="1">
        <v>50000</v>
      </c>
      <c r="X1746" s="1">
        <v>0</v>
      </c>
      <c r="Y1746" s="1">
        <v>0</v>
      </c>
      <c r="Z1746" s="1">
        <v>0</v>
      </c>
      <c r="AA1746" s="1">
        <v>0</v>
      </c>
      <c r="AB1746" s="1">
        <v>0</v>
      </c>
      <c r="AC1746" s="1">
        <v>0</v>
      </c>
      <c r="AD1746" s="1">
        <v>0</v>
      </c>
    </row>
    <row r="1747" spans="1:30" s="20" customFormat="1" ht="36" customHeight="1" x14ac:dyDescent="0.25">
      <c r="A1747" s="2">
        <f t="shared" si="893"/>
        <v>1691</v>
      </c>
      <c r="B1747" s="6">
        <f>A1747</f>
        <v>1691</v>
      </c>
      <c r="C1747" s="19" t="s">
        <v>1025</v>
      </c>
      <c r="D1747" s="4">
        <f t="shared" si="888"/>
        <v>32228160</v>
      </c>
      <c r="E1747" s="1">
        <f>SUM(F1747:K1747)</f>
        <v>18665730</v>
      </c>
      <c r="F1747" s="1">
        <f>804*4755.6</f>
        <v>3823502.4000000004</v>
      </c>
      <c r="G1747" s="1">
        <f>1693*4755.6</f>
        <v>8051230.8000000007</v>
      </c>
      <c r="H1747" s="1">
        <f>390*4755.6</f>
        <v>1854684.0000000002</v>
      </c>
      <c r="I1747" s="1">
        <f>571*4755.6</f>
        <v>2715447.6</v>
      </c>
      <c r="J1747" s="1">
        <f>467*4755.6</f>
        <v>2220865.2000000002</v>
      </c>
      <c r="K1747" s="1">
        <v>0</v>
      </c>
      <c r="L1747" s="2">
        <v>0</v>
      </c>
      <c r="M1747" s="1">
        <v>0</v>
      </c>
      <c r="N1747" s="1">
        <v>860</v>
      </c>
      <c r="O1747" s="1">
        <f>N1747*4968</f>
        <v>4272480</v>
      </c>
      <c r="P1747" s="1">
        <v>0</v>
      </c>
      <c r="Q1747" s="1">
        <f>P1747*1400</f>
        <v>0</v>
      </c>
      <c r="R1747" s="1">
        <v>2450</v>
      </c>
      <c r="S1747" s="1">
        <f>R1747*3751</f>
        <v>9189950</v>
      </c>
      <c r="T1747" s="1">
        <v>0</v>
      </c>
      <c r="U1747" s="1">
        <v>50000</v>
      </c>
      <c r="V1747" s="1">
        <v>0</v>
      </c>
      <c r="W1747" s="1">
        <v>50000</v>
      </c>
      <c r="X1747" s="1">
        <v>0</v>
      </c>
      <c r="Y1747" s="1">
        <v>0</v>
      </c>
      <c r="Z1747" s="1">
        <v>0</v>
      </c>
      <c r="AA1747" s="1">
        <v>0</v>
      </c>
      <c r="AB1747" s="1">
        <v>0</v>
      </c>
      <c r="AC1747" s="1">
        <v>0</v>
      </c>
      <c r="AD1747" s="1">
        <v>0</v>
      </c>
    </row>
    <row r="1748" spans="1:30" s="20" customFormat="1" ht="36" customHeight="1" x14ac:dyDescent="0.25">
      <c r="A1748" s="2">
        <f t="shared" si="893"/>
        <v>1692</v>
      </c>
      <c r="B1748" s="6">
        <f>A1748</f>
        <v>1692</v>
      </c>
      <c r="C1748" s="19" t="s">
        <v>1027</v>
      </c>
      <c r="D1748" s="4">
        <f t="shared" si="888"/>
        <v>9239950</v>
      </c>
      <c r="E1748" s="1">
        <f>SUM(F1748:K1748)</f>
        <v>0</v>
      </c>
      <c r="F1748" s="1">
        <v>0</v>
      </c>
      <c r="G1748" s="1">
        <v>0</v>
      </c>
      <c r="H1748" s="1">
        <v>0</v>
      </c>
      <c r="I1748" s="1">
        <v>0</v>
      </c>
      <c r="J1748" s="1">
        <v>0</v>
      </c>
      <c r="K1748" s="1">
        <v>0</v>
      </c>
      <c r="L1748" s="2">
        <v>0</v>
      </c>
      <c r="M1748" s="1">
        <v>0</v>
      </c>
      <c r="N1748" s="1">
        <v>0</v>
      </c>
      <c r="O1748" s="1">
        <v>0</v>
      </c>
      <c r="P1748" s="1">
        <v>0</v>
      </c>
      <c r="Q1748" s="1">
        <f>P1748*1400</f>
        <v>0</v>
      </c>
      <c r="R1748" s="1">
        <v>2450</v>
      </c>
      <c r="S1748" s="1">
        <f>R1748*3751</f>
        <v>9189950</v>
      </c>
      <c r="T1748" s="1">
        <v>0</v>
      </c>
      <c r="U1748" s="1">
        <v>0</v>
      </c>
      <c r="V1748" s="1">
        <v>0</v>
      </c>
      <c r="W1748" s="1">
        <v>50000</v>
      </c>
      <c r="X1748" s="1">
        <v>0</v>
      </c>
      <c r="Y1748" s="1">
        <v>0</v>
      </c>
      <c r="Z1748" s="1">
        <v>0</v>
      </c>
      <c r="AA1748" s="1">
        <v>0</v>
      </c>
      <c r="AB1748" s="1">
        <v>0</v>
      </c>
      <c r="AC1748" s="1">
        <v>0</v>
      </c>
      <c r="AD1748" s="1">
        <v>0</v>
      </c>
    </row>
    <row r="1749" spans="1:30" s="20" customFormat="1" ht="36" customHeight="1" x14ac:dyDescent="0.25">
      <c r="A1749" s="2">
        <f t="shared" si="893"/>
        <v>1693</v>
      </c>
      <c r="B1749" s="6">
        <f>A1749</f>
        <v>1693</v>
      </c>
      <c r="C1749" s="19" t="s">
        <v>1028</v>
      </c>
      <c r="D1749" s="4">
        <f t="shared" si="888"/>
        <v>41553511</v>
      </c>
      <c r="E1749" s="1">
        <f>SUM(F1749:K1749)</f>
        <v>22998144.999999996</v>
      </c>
      <c r="F1749" s="1">
        <f>804*5859.4</f>
        <v>4710957.5999999996</v>
      </c>
      <c r="G1749" s="1">
        <f>1693*5859.4</f>
        <v>9919964.1999999993</v>
      </c>
      <c r="H1749" s="1">
        <f>390*5859.4</f>
        <v>2285166</v>
      </c>
      <c r="I1749" s="1">
        <f>571*5859.4</f>
        <v>3345717.4</v>
      </c>
      <c r="J1749" s="1">
        <f>467*5859.4</f>
        <v>2736339.8</v>
      </c>
      <c r="K1749" s="1">
        <v>0</v>
      </c>
      <c r="L1749" s="2">
        <v>0</v>
      </c>
      <c r="M1749" s="1">
        <v>0</v>
      </c>
      <c r="N1749" s="1">
        <v>1412</v>
      </c>
      <c r="O1749" s="1">
        <f>N1749*4968</f>
        <v>7014816</v>
      </c>
      <c r="P1749" s="1">
        <v>0</v>
      </c>
      <c r="Q1749" s="1">
        <f>P1749*1400</f>
        <v>0</v>
      </c>
      <c r="R1749" s="1">
        <v>3050</v>
      </c>
      <c r="S1749" s="1">
        <f>R1749*3751</f>
        <v>11440550</v>
      </c>
      <c r="T1749" s="1">
        <v>0</v>
      </c>
      <c r="U1749" s="1">
        <v>50000</v>
      </c>
      <c r="V1749" s="1">
        <v>0</v>
      </c>
      <c r="W1749" s="1">
        <v>50000</v>
      </c>
      <c r="X1749" s="1">
        <v>0</v>
      </c>
      <c r="Y1749" s="1">
        <v>0</v>
      </c>
      <c r="Z1749" s="1">
        <v>0</v>
      </c>
      <c r="AA1749" s="1">
        <v>0</v>
      </c>
      <c r="AB1749" s="1">
        <v>0</v>
      </c>
      <c r="AC1749" s="1">
        <v>0</v>
      </c>
      <c r="AD1749" s="1">
        <v>0</v>
      </c>
    </row>
    <row r="1750" spans="1:30" s="20" customFormat="1" ht="36" customHeight="1" x14ac:dyDescent="0.25">
      <c r="A1750" s="2">
        <f t="shared" si="893"/>
        <v>1694</v>
      </c>
      <c r="B1750" s="6">
        <f t="shared" si="890"/>
        <v>1694</v>
      </c>
      <c r="C1750" s="19" t="s">
        <v>1021</v>
      </c>
      <c r="D1750" s="4">
        <f t="shared" si="888"/>
        <v>22828818.5</v>
      </c>
      <c r="E1750" s="1">
        <f t="shared" si="883"/>
        <v>11685117.499999998</v>
      </c>
      <c r="F1750" s="1">
        <f>804*2977.1</f>
        <v>2393588.4</v>
      </c>
      <c r="G1750" s="1">
        <f>1693*2977.1</f>
        <v>5040230.3</v>
      </c>
      <c r="H1750" s="1">
        <f>390*2977.1</f>
        <v>1161069</v>
      </c>
      <c r="I1750" s="1">
        <f>571*2977.1</f>
        <v>1699924.0999999999</v>
      </c>
      <c r="J1750" s="1">
        <f>467*2977.1</f>
        <v>1390305.7</v>
      </c>
      <c r="K1750" s="1">
        <v>0</v>
      </c>
      <c r="L1750" s="2">
        <v>0</v>
      </c>
      <c r="M1750" s="1">
        <v>0</v>
      </c>
      <c r="N1750" s="1">
        <v>765</v>
      </c>
      <c r="O1750" s="1">
        <f>N1750*4968</f>
        <v>3800520</v>
      </c>
      <c r="P1750" s="1">
        <v>0</v>
      </c>
      <c r="Q1750" s="1">
        <f t="shared" si="899"/>
        <v>0</v>
      </c>
      <c r="R1750" s="1">
        <v>1931</v>
      </c>
      <c r="S1750" s="1">
        <f t="shared" si="898"/>
        <v>7243181</v>
      </c>
      <c r="T1750" s="1">
        <v>0</v>
      </c>
      <c r="U1750" s="1">
        <v>50000</v>
      </c>
      <c r="V1750" s="1">
        <v>0</v>
      </c>
      <c r="W1750" s="1">
        <v>50000</v>
      </c>
      <c r="X1750" s="1">
        <v>0</v>
      </c>
      <c r="Y1750" s="1">
        <v>0</v>
      </c>
      <c r="Z1750" s="1">
        <v>0</v>
      </c>
      <c r="AA1750" s="1">
        <v>0</v>
      </c>
      <c r="AB1750" s="1">
        <v>0</v>
      </c>
      <c r="AC1750" s="1">
        <v>0</v>
      </c>
      <c r="AD1750" s="1">
        <v>0</v>
      </c>
    </row>
    <row r="1751" spans="1:30" s="20" customFormat="1" ht="36" customHeight="1" x14ac:dyDescent="0.25">
      <c r="A1751" s="2">
        <f t="shared" si="893"/>
        <v>1695</v>
      </c>
      <c r="B1751" s="6">
        <f t="shared" si="890"/>
        <v>1695</v>
      </c>
      <c r="C1751" s="19" t="s">
        <v>1022</v>
      </c>
      <c r="D1751" s="4">
        <f t="shared" si="888"/>
        <v>26433695</v>
      </c>
      <c r="E1751" s="1">
        <f t="shared" si="883"/>
        <v>14570384.999999998</v>
      </c>
      <c r="F1751" s="1">
        <f>804*3712.2</f>
        <v>2984608.8</v>
      </c>
      <c r="G1751" s="1">
        <f>1693*3712.2</f>
        <v>6284754.5999999996</v>
      </c>
      <c r="H1751" s="1">
        <f>390*3712.2</f>
        <v>1447758</v>
      </c>
      <c r="I1751" s="1">
        <f>571*3712.2</f>
        <v>2119666.1999999997</v>
      </c>
      <c r="J1751" s="1">
        <f>467*3712.2</f>
        <v>1733597.4</v>
      </c>
      <c r="K1751" s="1">
        <v>0</v>
      </c>
      <c r="L1751" s="2">
        <v>0</v>
      </c>
      <c r="M1751" s="1">
        <v>0</v>
      </c>
      <c r="N1751" s="1">
        <v>820</v>
      </c>
      <c r="O1751" s="1">
        <f>N1751*4968</f>
        <v>4073760</v>
      </c>
      <c r="P1751" s="1">
        <v>0</v>
      </c>
      <c r="Q1751" s="1">
        <f t="shared" si="899"/>
        <v>0</v>
      </c>
      <c r="R1751" s="1">
        <v>2050</v>
      </c>
      <c r="S1751" s="1">
        <f t="shared" si="898"/>
        <v>7689550</v>
      </c>
      <c r="T1751" s="1">
        <v>0</v>
      </c>
      <c r="U1751" s="1">
        <v>50000</v>
      </c>
      <c r="V1751" s="1">
        <v>0</v>
      </c>
      <c r="W1751" s="1">
        <v>50000</v>
      </c>
      <c r="X1751" s="1">
        <v>0</v>
      </c>
      <c r="Y1751" s="1">
        <v>0</v>
      </c>
      <c r="Z1751" s="1">
        <v>0</v>
      </c>
      <c r="AA1751" s="1">
        <v>0</v>
      </c>
      <c r="AB1751" s="1">
        <v>0</v>
      </c>
      <c r="AC1751" s="1">
        <v>0</v>
      </c>
      <c r="AD1751" s="1">
        <v>0</v>
      </c>
    </row>
    <row r="1752" spans="1:30" s="20" customFormat="1" ht="36" customHeight="1" x14ac:dyDescent="0.25">
      <c r="A1752" s="2">
        <f t="shared" si="893"/>
        <v>1696</v>
      </c>
      <c r="B1752" s="6">
        <f t="shared" si="890"/>
        <v>1696</v>
      </c>
      <c r="C1752" s="19" t="s">
        <v>1023</v>
      </c>
      <c r="D1752" s="4">
        <f t="shared" si="888"/>
        <v>22709637.800000004</v>
      </c>
      <c r="E1752" s="1">
        <f t="shared" si="883"/>
        <v>11628990.000000002</v>
      </c>
      <c r="F1752" s="1">
        <f>804*2962.8</f>
        <v>2382091.2000000002</v>
      </c>
      <c r="G1752" s="1">
        <f>1693*2962.8</f>
        <v>5016020.4000000004</v>
      </c>
      <c r="H1752" s="1">
        <f>390*2962.8</f>
        <v>1155492</v>
      </c>
      <c r="I1752" s="1">
        <f>571*2962.8</f>
        <v>1691758.8</v>
      </c>
      <c r="J1752" s="1">
        <f>467*2962.8</f>
        <v>1383627.6</v>
      </c>
      <c r="K1752" s="1">
        <v>0</v>
      </c>
      <c r="L1752" s="2">
        <v>0</v>
      </c>
      <c r="M1752" s="1">
        <v>0</v>
      </c>
      <c r="N1752" s="1">
        <v>796.1</v>
      </c>
      <c r="O1752" s="1">
        <f>N1752*4968</f>
        <v>3955024.8000000003</v>
      </c>
      <c r="P1752" s="1">
        <v>0</v>
      </c>
      <c r="Q1752" s="1">
        <f t="shared" si="899"/>
        <v>0</v>
      </c>
      <c r="R1752" s="1">
        <v>1873</v>
      </c>
      <c r="S1752" s="1">
        <f t="shared" si="898"/>
        <v>7025623</v>
      </c>
      <c r="T1752" s="1">
        <v>0</v>
      </c>
      <c r="U1752" s="1">
        <v>50000</v>
      </c>
      <c r="V1752" s="1">
        <v>0</v>
      </c>
      <c r="W1752" s="1">
        <v>50000</v>
      </c>
      <c r="X1752" s="1">
        <v>0</v>
      </c>
      <c r="Y1752" s="1">
        <v>0</v>
      </c>
      <c r="Z1752" s="1">
        <v>0</v>
      </c>
      <c r="AA1752" s="1">
        <v>0</v>
      </c>
      <c r="AB1752" s="1">
        <v>0</v>
      </c>
      <c r="AC1752" s="1">
        <v>0</v>
      </c>
      <c r="AD1752" s="1">
        <v>0</v>
      </c>
    </row>
    <row r="1753" spans="1:30" s="20" customFormat="1" ht="36" customHeight="1" x14ac:dyDescent="0.25">
      <c r="A1753" s="2">
        <f t="shared" si="893"/>
        <v>1697</v>
      </c>
      <c r="B1753" s="6">
        <f t="shared" si="890"/>
        <v>1697</v>
      </c>
      <c r="C1753" s="19" t="s">
        <v>1880</v>
      </c>
      <c r="D1753" s="4">
        <f t="shared" si="888"/>
        <v>14200000</v>
      </c>
      <c r="E1753" s="1">
        <f t="shared" ref="E1753:E1789" si="900">SUM(F1753:K1753)</f>
        <v>0</v>
      </c>
      <c r="F1753" s="1">
        <v>0</v>
      </c>
      <c r="G1753" s="1">
        <v>0</v>
      </c>
      <c r="H1753" s="1">
        <v>0</v>
      </c>
      <c r="I1753" s="1">
        <v>0</v>
      </c>
      <c r="J1753" s="1">
        <v>0</v>
      </c>
      <c r="K1753" s="1">
        <v>0</v>
      </c>
      <c r="L1753" s="2">
        <v>4</v>
      </c>
      <c r="M1753" s="1">
        <f>L1753*3500000</f>
        <v>14000000</v>
      </c>
      <c r="N1753" s="1">
        <v>0</v>
      </c>
      <c r="O1753" s="1">
        <v>0</v>
      </c>
      <c r="P1753" s="1">
        <v>0</v>
      </c>
      <c r="Q1753" s="1">
        <f t="shared" si="899"/>
        <v>0</v>
      </c>
      <c r="R1753" s="1">
        <v>0</v>
      </c>
      <c r="S1753" s="1">
        <f t="shared" si="898"/>
        <v>0</v>
      </c>
      <c r="T1753" s="1">
        <v>0</v>
      </c>
      <c r="U1753" s="1">
        <v>200000</v>
      </c>
      <c r="V1753" s="1">
        <v>0</v>
      </c>
      <c r="W1753" s="1">
        <v>0</v>
      </c>
      <c r="X1753" s="1">
        <v>0</v>
      </c>
      <c r="Y1753" s="1">
        <v>0</v>
      </c>
      <c r="Z1753" s="1">
        <v>0</v>
      </c>
      <c r="AA1753" s="1">
        <v>0</v>
      </c>
      <c r="AB1753" s="1">
        <v>0</v>
      </c>
      <c r="AC1753" s="1">
        <v>0</v>
      </c>
      <c r="AD1753" s="1">
        <v>0</v>
      </c>
    </row>
    <row r="1754" spans="1:30" s="20" customFormat="1" ht="36" customHeight="1" x14ac:dyDescent="0.25">
      <c r="A1754" s="2">
        <f t="shared" si="893"/>
        <v>1698</v>
      </c>
      <c r="B1754" s="6">
        <f t="shared" ref="B1754" si="901">A1754</f>
        <v>1698</v>
      </c>
      <c r="C1754" s="19" t="s">
        <v>1881</v>
      </c>
      <c r="D1754" s="4">
        <f t="shared" si="888"/>
        <v>7200000</v>
      </c>
      <c r="E1754" s="1">
        <f t="shared" ref="E1754" si="902">SUM(F1754:K1754)</f>
        <v>0</v>
      </c>
      <c r="F1754" s="1">
        <v>0</v>
      </c>
      <c r="G1754" s="1">
        <v>0</v>
      </c>
      <c r="H1754" s="1">
        <v>0</v>
      </c>
      <c r="I1754" s="1">
        <v>0</v>
      </c>
      <c r="J1754" s="1">
        <v>0</v>
      </c>
      <c r="K1754" s="1">
        <v>0</v>
      </c>
      <c r="L1754" s="2">
        <v>2</v>
      </c>
      <c r="M1754" s="1">
        <f>L1754*3500000</f>
        <v>7000000</v>
      </c>
      <c r="N1754" s="1">
        <v>0</v>
      </c>
      <c r="O1754" s="1">
        <v>0</v>
      </c>
      <c r="P1754" s="1">
        <v>0</v>
      </c>
      <c r="Q1754" s="1">
        <f t="shared" ref="Q1754" si="903">P1754*1400</f>
        <v>0</v>
      </c>
      <c r="R1754" s="1">
        <v>0</v>
      </c>
      <c r="S1754" s="1">
        <f t="shared" ref="S1754" si="904">R1754*3751</f>
        <v>0</v>
      </c>
      <c r="T1754" s="1">
        <v>0</v>
      </c>
      <c r="U1754" s="1">
        <v>200000</v>
      </c>
      <c r="V1754" s="1">
        <v>0</v>
      </c>
      <c r="W1754" s="1">
        <v>0</v>
      </c>
      <c r="X1754" s="1">
        <v>0</v>
      </c>
      <c r="Y1754" s="1">
        <v>0</v>
      </c>
      <c r="Z1754" s="1">
        <v>0</v>
      </c>
      <c r="AA1754" s="1">
        <v>0</v>
      </c>
      <c r="AB1754" s="1">
        <v>0</v>
      </c>
      <c r="AC1754" s="1">
        <v>0</v>
      </c>
      <c r="AD1754" s="1">
        <v>0</v>
      </c>
    </row>
    <row r="1755" spans="1:30" s="20" customFormat="1" ht="36" customHeight="1" x14ac:dyDescent="0.25">
      <c r="A1755" s="2">
        <f t="shared" si="893"/>
        <v>1699</v>
      </c>
      <c r="B1755" s="6">
        <f t="shared" ref="B1755" si="905">A1755</f>
        <v>1699</v>
      </c>
      <c r="C1755" s="19" t="s">
        <v>1882</v>
      </c>
      <c r="D1755" s="4">
        <f t="shared" si="888"/>
        <v>10700000</v>
      </c>
      <c r="E1755" s="1">
        <f t="shared" ref="E1755" si="906">SUM(F1755:K1755)</f>
        <v>0</v>
      </c>
      <c r="F1755" s="1">
        <v>0</v>
      </c>
      <c r="G1755" s="1">
        <v>0</v>
      </c>
      <c r="H1755" s="1">
        <v>0</v>
      </c>
      <c r="I1755" s="1">
        <v>0</v>
      </c>
      <c r="J1755" s="1">
        <v>0</v>
      </c>
      <c r="K1755" s="1">
        <v>0</v>
      </c>
      <c r="L1755" s="2">
        <v>3</v>
      </c>
      <c r="M1755" s="1">
        <f>L1755*3500000</f>
        <v>10500000</v>
      </c>
      <c r="N1755" s="1">
        <v>0</v>
      </c>
      <c r="O1755" s="1">
        <v>0</v>
      </c>
      <c r="P1755" s="1">
        <v>0</v>
      </c>
      <c r="Q1755" s="1">
        <f t="shared" ref="Q1755" si="907">P1755*1400</f>
        <v>0</v>
      </c>
      <c r="R1755" s="1">
        <v>0</v>
      </c>
      <c r="S1755" s="1">
        <f t="shared" ref="S1755" si="908">R1755*3751</f>
        <v>0</v>
      </c>
      <c r="T1755" s="1">
        <v>0</v>
      </c>
      <c r="U1755" s="1">
        <v>200000</v>
      </c>
      <c r="V1755" s="1">
        <v>0</v>
      </c>
      <c r="W1755" s="1">
        <v>0</v>
      </c>
      <c r="X1755" s="1">
        <v>0</v>
      </c>
      <c r="Y1755" s="1">
        <v>0</v>
      </c>
      <c r="Z1755" s="1">
        <v>0</v>
      </c>
      <c r="AA1755" s="1">
        <v>0</v>
      </c>
      <c r="AB1755" s="1">
        <v>0</v>
      </c>
      <c r="AC1755" s="1">
        <v>0</v>
      </c>
      <c r="AD1755" s="1">
        <v>0</v>
      </c>
    </row>
    <row r="1756" spans="1:30" s="20" customFormat="1" ht="36" customHeight="1" x14ac:dyDescent="0.25">
      <c r="A1756" s="2">
        <f t="shared" si="893"/>
        <v>1700</v>
      </c>
      <c r="B1756" s="6">
        <f t="shared" si="890"/>
        <v>1700</v>
      </c>
      <c r="C1756" s="19" t="s">
        <v>1029</v>
      </c>
      <c r="D1756" s="4">
        <f t="shared" si="888"/>
        <v>2410680</v>
      </c>
      <c r="E1756" s="1">
        <f t="shared" si="900"/>
        <v>1226641</v>
      </c>
      <c r="F1756" s="1">
        <f>804*312.52</f>
        <v>251266.08</v>
      </c>
      <c r="G1756" s="1">
        <f>1693*312.52</f>
        <v>529096.36</v>
      </c>
      <c r="H1756" s="1">
        <f>390*312.52</f>
        <v>121882.79999999999</v>
      </c>
      <c r="I1756" s="1">
        <f>571*312.52</f>
        <v>178448.91999999998</v>
      </c>
      <c r="J1756" s="1">
        <f>467*312.52</f>
        <v>145946.84</v>
      </c>
      <c r="K1756" s="1">
        <v>0</v>
      </c>
      <c r="L1756" s="2">
        <v>0</v>
      </c>
      <c r="M1756" s="1">
        <v>0</v>
      </c>
      <c r="N1756" s="1">
        <v>0</v>
      </c>
      <c r="O1756" s="1">
        <v>0</v>
      </c>
      <c r="P1756" s="1">
        <v>0</v>
      </c>
      <c r="Q1756" s="1">
        <f t="shared" si="899"/>
        <v>0</v>
      </c>
      <c r="R1756" s="1">
        <v>289</v>
      </c>
      <c r="S1756" s="1">
        <f t="shared" si="898"/>
        <v>1084039</v>
      </c>
      <c r="T1756" s="1">
        <v>0</v>
      </c>
      <c r="U1756" s="1">
        <v>50000</v>
      </c>
      <c r="V1756" s="1">
        <v>0</v>
      </c>
      <c r="W1756" s="1">
        <v>50000</v>
      </c>
      <c r="X1756" s="1">
        <v>0</v>
      </c>
      <c r="Y1756" s="1">
        <v>0</v>
      </c>
      <c r="Z1756" s="1">
        <v>0</v>
      </c>
      <c r="AA1756" s="1">
        <v>0</v>
      </c>
      <c r="AB1756" s="1">
        <v>0</v>
      </c>
      <c r="AC1756" s="1">
        <v>0</v>
      </c>
      <c r="AD1756" s="1">
        <v>0</v>
      </c>
    </row>
    <row r="1757" spans="1:30" s="20" customFormat="1" ht="36" customHeight="1" x14ac:dyDescent="0.25">
      <c r="A1757" s="2">
        <f t="shared" si="893"/>
        <v>1701</v>
      </c>
      <c r="B1757" s="6">
        <f t="shared" si="890"/>
        <v>1701</v>
      </c>
      <c r="C1757" s="19" t="s">
        <v>1030</v>
      </c>
      <c r="D1757" s="4">
        <f t="shared" si="888"/>
        <v>4353787.5</v>
      </c>
      <c r="E1757" s="1">
        <f t="shared" si="900"/>
        <v>2753387.5</v>
      </c>
      <c r="F1757" s="1">
        <f>804*701.5</f>
        <v>564006</v>
      </c>
      <c r="G1757" s="1">
        <f>1693*701.5</f>
        <v>1187639.5</v>
      </c>
      <c r="H1757" s="1">
        <f>390*701.5</f>
        <v>273585</v>
      </c>
      <c r="I1757" s="1">
        <f>571*701.5</f>
        <v>400556.5</v>
      </c>
      <c r="J1757" s="1">
        <f>467*701.5</f>
        <v>327600.5</v>
      </c>
      <c r="K1757" s="1">
        <v>0</v>
      </c>
      <c r="L1757" s="2">
        <v>0</v>
      </c>
      <c r="M1757" s="1">
        <v>0</v>
      </c>
      <c r="N1757" s="1">
        <v>0</v>
      </c>
      <c r="O1757" s="1">
        <v>0</v>
      </c>
      <c r="P1757" s="1">
        <v>0</v>
      </c>
      <c r="Q1757" s="1">
        <f t="shared" si="899"/>
        <v>0</v>
      </c>
      <c r="R1757" s="1">
        <v>400</v>
      </c>
      <c r="S1757" s="1">
        <f t="shared" si="898"/>
        <v>1500400</v>
      </c>
      <c r="T1757" s="1">
        <v>0</v>
      </c>
      <c r="U1757" s="1">
        <v>50000</v>
      </c>
      <c r="V1757" s="1">
        <v>0</v>
      </c>
      <c r="W1757" s="1">
        <v>50000</v>
      </c>
      <c r="X1757" s="1">
        <v>0</v>
      </c>
      <c r="Y1757" s="1">
        <v>0</v>
      </c>
      <c r="Z1757" s="1">
        <v>0</v>
      </c>
      <c r="AA1757" s="1">
        <v>0</v>
      </c>
      <c r="AB1757" s="1">
        <v>0</v>
      </c>
      <c r="AC1757" s="1">
        <v>0</v>
      </c>
      <c r="AD1757" s="1">
        <v>0</v>
      </c>
    </row>
    <row r="1758" spans="1:30" s="20" customFormat="1" ht="36" customHeight="1" x14ac:dyDescent="0.25">
      <c r="A1758" s="2">
        <f t="shared" si="893"/>
        <v>1702</v>
      </c>
      <c r="B1758" s="6">
        <f t="shared" si="890"/>
        <v>1702</v>
      </c>
      <c r="C1758" s="19" t="s">
        <v>1032</v>
      </c>
      <c r="D1758" s="4">
        <f t="shared" si="888"/>
        <v>2872100</v>
      </c>
      <c r="E1758" s="1">
        <f t="shared" si="900"/>
        <v>1271700</v>
      </c>
      <c r="F1758" s="1">
        <f>804*324</f>
        <v>260496</v>
      </c>
      <c r="G1758" s="1">
        <f>1693*324</f>
        <v>548532</v>
      </c>
      <c r="H1758" s="1">
        <f>390*324</f>
        <v>126360</v>
      </c>
      <c r="I1758" s="1">
        <f>571*324</f>
        <v>185004</v>
      </c>
      <c r="J1758" s="1">
        <f>467*324</f>
        <v>151308</v>
      </c>
      <c r="K1758" s="1">
        <v>0</v>
      </c>
      <c r="L1758" s="2">
        <v>0</v>
      </c>
      <c r="M1758" s="1">
        <v>0</v>
      </c>
      <c r="N1758" s="1">
        <v>0</v>
      </c>
      <c r="O1758" s="1">
        <v>0</v>
      </c>
      <c r="P1758" s="1">
        <v>0</v>
      </c>
      <c r="Q1758" s="1">
        <f t="shared" si="899"/>
        <v>0</v>
      </c>
      <c r="R1758" s="1">
        <v>400</v>
      </c>
      <c r="S1758" s="1">
        <f t="shared" si="898"/>
        <v>1500400</v>
      </c>
      <c r="T1758" s="1">
        <v>0</v>
      </c>
      <c r="U1758" s="1">
        <v>50000</v>
      </c>
      <c r="V1758" s="1">
        <v>0</v>
      </c>
      <c r="W1758" s="1">
        <v>50000</v>
      </c>
      <c r="X1758" s="1">
        <v>0</v>
      </c>
      <c r="Y1758" s="1">
        <v>0</v>
      </c>
      <c r="Z1758" s="1">
        <v>0</v>
      </c>
      <c r="AA1758" s="1">
        <v>0</v>
      </c>
      <c r="AB1758" s="1">
        <v>0</v>
      </c>
      <c r="AC1758" s="1">
        <v>0</v>
      </c>
      <c r="AD1758" s="1">
        <v>0</v>
      </c>
    </row>
    <row r="1759" spans="1:30" s="20" customFormat="1" ht="36" customHeight="1" x14ac:dyDescent="0.25">
      <c r="A1759" s="2">
        <f t="shared" si="893"/>
        <v>1703</v>
      </c>
      <c r="B1759" s="6">
        <f t="shared" si="890"/>
        <v>1703</v>
      </c>
      <c r="C1759" s="19" t="s">
        <v>1033</v>
      </c>
      <c r="D1759" s="4">
        <f t="shared" si="888"/>
        <v>2869745</v>
      </c>
      <c r="E1759" s="1">
        <f t="shared" si="900"/>
        <v>1269345</v>
      </c>
      <c r="F1759" s="1">
        <f>804*323.4</f>
        <v>260013.59999999998</v>
      </c>
      <c r="G1759" s="1">
        <f>1693*323.4</f>
        <v>547516.19999999995</v>
      </c>
      <c r="H1759" s="1">
        <f>390*323.4</f>
        <v>126125.99999999999</v>
      </c>
      <c r="I1759" s="1">
        <f>571*323.4</f>
        <v>184661.4</v>
      </c>
      <c r="J1759" s="1">
        <f>467*323.4</f>
        <v>151027.79999999999</v>
      </c>
      <c r="K1759" s="1">
        <v>0</v>
      </c>
      <c r="L1759" s="2">
        <v>0</v>
      </c>
      <c r="M1759" s="1">
        <v>0</v>
      </c>
      <c r="N1759" s="1">
        <v>0</v>
      </c>
      <c r="O1759" s="1">
        <v>0</v>
      </c>
      <c r="P1759" s="1">
        <v>0</v>
      </c>
      <c r="Q1759" s="1">
        <f t="shared" si="899"/>
        <v>0</v>
      </c>
      <c r="R1759" s="1">
        <v>400</v>
      </c>
      <c r="S1759" s="1">
        <f t="shared" si="898"/>
        <v>1500400</v>
      </c>
      <c r="T1759" s="1">
        <v>0</v>
      </c>
      <c r="U1759" s="1">
        <v>50000</v>
      </c>
      <c r="V1759" s="1">
        <v>0</v>
      </c>
      <c r="W1759" s="1">
        <v>50000</v>
      </c>
      <c r="X1759" s="1">
        <v>0</v>
      </c>
      <c r="Y1759" s="1">
        <v>0</v>
      </c>
      <c r="Z1759" s="1">
        <v>0</v>
      </c>
      <c r="AA1759" s="1">
        <v>0</v>
      </c>
      <c r="AB1759" s="1">
        <v>0</v>
      </c>
      <c r="AC1759" s="1">
        <v>0</v>
      </c>
      <c r="AD1759" s="1">
        <v>0</v>
      </c>
    </row>
    <row r="1760" spans="1:30" s="20" customFormat="1" ht="36" customHeight="1" x14ac:dyDescent="0.25">
      <c r="A1760" s="2">
        <f t="shared" si="893"/>
        <v>1704</v>
      </c>
      <c r="B1760" s="6">
        <f>A1760</f>
        <v>1704</v>
      </c>
      <c r="C1760" s="19" t="s">
        <v>1037</v>
      </c>
      <c r="D1760" s="4">
        <f t="shared" si="888"/>
        <v>20798440.25</v>
      </c>
      <c r="E1760" s="1">
        <f>SUM(F1760:K1760)</f>
        <v>11012490.25</v>
      </c>
      <c r="F1760" s="1">
        <f>804*2805.73</f>
        <v>2255806.92</v>
      </c>
      <c r="G1760" s="1">
        <f>1693*2805.73</f>
        <v>4750100.8899999997</v>
      </c>
      <c r="H1760" s="1">
        <f>390*2805.73</f>
        <v>1094234.7</v>
      </c>
      <c r="I1760" s="1">
        <f>571*2805.73</f>
        <v>1602071.83</v>
      </c>
      <c r="J1760" s="1">
        <f>467*2805.73</f>
        <v>1310275.9099999999</v>
      </c>
      <c r="K1760" s="1">
        <v>0</v>
      </c>
      <c r="L1760" s="2">
        <v>0</v>
      </c>
      <c r="M1760" s="1">
        <v>0</v>
      </c>
      <c r="N1760" s="1">
        <v>669</v>
      </c>
      <c r="O1760" s="1">
        <f>N1760*7750</f>
        <v>5184750</v>
      </c>
      <c r="P1760" s="1">
        <v>0</v>
      </c>
      <c r="Q1760" s="1">
        <f>P1760*1400</f>
        <v>0</v>
      </c>
      <c r="R1760" s="1">
        <v>1200</v>
      </c>
      <c r="S1760" s="1">
        <f>R1760*3751</f>
        <v>4501200</v>
      </c>
      <c r="T1760" s="1">
        <v>0</v>
      </c>
      <c r="U1760" s="1">
        <v>50000</v>
      </c>
      <c r="V1760" s="1">
        <v>0</v>
      </c>
      <c r="W1760" s="1">
        <v>50000</v>
      </c>
      <c r="X1760" s="1">
        <v>0</v>
      </c>
      <c r="Y1760" s="1">
        <v>0</v>
      </c>
      <c r="Z1760" s="1">
        <v>0</v>
      </c>
      <c r="AA1760" s="1">
        <v>0</v>
      </c>
      <c r="AB1760" s="1">
        <v>0</v>
      </c>
      <c r="AC1760" s="1">
        <v>0</v>
      </c>
      <c r="AD1760" s="1">
        <v>0</v>
      </c>
    </row>
    <row r="1761" spans="1:30" s="20" customFormat="1" ht="36" customHeight="1" x14ac:dyDescent="0.25">
      <c r="A1761" s="2">
        <f t="shared" si="893"/>
        <v>1705</v>
      </c>
      <c r="B1761" s="6">
        <f>A1761</f>
        <v>1705</v>
      </c>
      <c r="C1761" s="19" t="s">
        <v>1039</v>
      </c>
      <c r="D1761" s="4">
        <f t="shared" si="888"/>
        <v>7992855</v>
      </c>
      <c r="E1761" s="1">
        <f>SUM(F1761:K1761)</f>
        <v>4704505</v>
      </c>
      <c r="F1761" s="1">
        <f>804*1198.6</f>
        <v>963674.39999999991</v>
      </c>
      <c r="G1761" s="1">
        <f>1693*1198.6</f>
        <v>2029229.7999999998</v>
      </c>
      <c r="H1761" s="1">
        <f>390*1198.6</f>
        <v>467453.99999999994</v>
      </c>
      <c r="I1761" s="1">
        <f>571*1198.6</f>
        <v>684400.6</v>
      </c>
      <c r="J1761" s="1">
        <f>467*1198.6</f>
        <v>559746.19999999995</v>
      </c>
      <c r="K1761" s="1">
        <v>0</v>
      </c>
      <c r="L1761" s="2">
        <v>0</v>
      </c>
      <c r="M1761" s="1">
        <v>0</v>
      </c>
      <c r="N1761" s="1">
        <v>0</v>
      </c>
      <c r="O1761" s="1">
        <v>0</v>
      </c>
      <c r="P1761" s="1">
        <v>0</v>
      </c>
      <c r="Q1761" s="1">
        <f>P1761*1400</f>
        <v>0</v>
      </c>
      <c r="R1761" s="1">
        <v>850</v>
      </c>
      <c r="S1761" s="1">
        <f>R1761*3751</f>
        <v>3188350</v>
      </c>
      <c r="T1761" s="1">
        <v>0</v>
      </c>
      <c r="U1761" s="1">
        <v>50000</v>
      </c>
      <c r="V1761" s="1">
        <v>0</v>
      </c>
      <c r="W1761" s="1">
        <v>50000</v>
      </c>
      <c r="X1761" s="1">
        <v>0</v>
      </c>
      <c r="Y1761" s="1">
        <v>0</v>
      </c>
      <c r="Z1761" s="1">
        <v>0</v>
      </c>
      <c r="AA1761" s="1">
        <v>0</v>
      </c>
      <c r="AB1761" s="1">
        <v>0</v>
      </c>
      <c r="AC1761" s="1">
        <v>0</v>
      </c>
      <c r="AD1761" s="1">
        <v>0</v>
      </c>
    </row>
    <row r="1762" spans="1:30" s="20" customFormat="1" ht="36" customHeight="1" x14ac:dyDescent="0.25">
      <c r="A1762" s="2">
        <f t="shared" si="893"/>
        <v>1706</v>
      </c>
      <c r="B1762" s="6">
        <f>A1762</f>
        <v>1706</v>
      </c>
      <c r="C1762" s="19" t="s">
        <v>483</v>
      </c>
      <c r="D1762" s="4">
        <f t="shared" si="888"/>
        <v>371600</v>
      </c>
      <c r="E1762" s="1">
        <f t="shared" si="900"/>
        <v>321600</v>
      </c>
      <c r="F1762" s="1">
        <f>804*400</f>
        <v>321600</v>
      </c>
      <c r="G1762" s="1">
        <f>1693*0</f>
        <v>0</v>
      </c>
      <c r="H1762" s="1">
        <v>0</v>
      </c>
      <c r="I1762" s="1">
        <v>0</v>
      </c>
      <c r="J1762" s="1">
        <v>0</v>
      </c>
      <c r="K1762" s="1">
        <v>0</v>
      </c>
      <c r="L1762" s="2">
        <v>0</v>
      </c>
      <c r="M1762" s="1">
        <v>0</v>
      </c>
      <c r="N1762" s="1">
        <v>0</v>
      </c>
      <c r="O1762" s="1">
        <v>0</v>
      </c>
      <c r="P1762" s="1">
        <v>0</v>
      </c>
      <c r="Q1762" s="1">
        <f t="shared" si="899"/>
        <v>0</v>
      </c>
      <c r="R1762" s="1">
        <v>0</v>
      </c>
      <c r="S1762" s="1">
        <f t="shared" si="898"/>
        <v>0</v>
      </c>
      <c r="T1762" s="1">
        <v>0</v>
      </c>
      <c r="U1762" s="1">
        <v>50000</v>
      </c>
      <c r="V1762" s="1">
        <v>0</v>
      </c>
      <c r="W1762" s="1">
        <v>0</v>
      </c>
      <c r="X1762" s="1">
        <v>0</v>
      </c>
      <c r="Y1762" s="1">
        <v>0</v>
      </c>
      <c r="Z1762" s="1">
        <v>0</v>
      </c>
      <c r="AA1762" s="1">
        <v>0</v>
      </c>
      <c r="AB1762" s="1">
        <v>0</v>
      </c>
      <c r="AC1762" s="1">
        <v>0</v>
      </c>
      <c r="AD1762" s="1">
        <v>0</v>
      </c>
    </row>
    <row r="1763" spans="1:30" s="20" customFormat="1" ht="36" customHeight="1" x14ac:dyDescent="0.25">
      <c r="A1763" s="2">
        <f t="shared" si="893"/>
        <v>1707</v>
      </c>
      <c r="B1763" s="6">
        <f t="shared" si="890"/>
        <v>1707</v>
      </c>
      <c r="C1763" s="19" t="s">
        <v>1034</v>
      </c>
      <c r="D1763" s="4">
        <f t="shared" si="888"/>
        <v>26596500.5</v>
      </c>
      <c r="E1763" s="1">
        <f t="shared" si="900"/>
        <v>14633420.500000002</v>
      </c>
      <c r="F1763" s="1">
        <f>804*3728.26</f>
        <v>2997521.04</v>
      </c>
      <c r="G1763" s="1">
        <f>1693*3728.26</f>
        <v>6311944.1800000006</v>
      </c>
      <c r="H1763" s="1">
        <f>390*3728.26</f>
        <v>1454021.4000000001</v>
      </c>
      <c r="I1763" s="1">
        <f>571*3728.26</f>
        <v>2128836.46</v>
      </c>
      <c r="J1763" s="1">
        <f>467*3728.26</f>
        <v>1741097.4200000002</v>
      </c>
      <c r="K1763" s="1">
        <v>0</v>
      </c>
      <c r="L1763" s="2">
        <v>0</v>
      </c>
      <c r="M1763" s="1">
        <v>0</v>
      </c>
      <c r="N1763" s="1">
        <v>887</v>
      </c>
      <c r="O1763" s="1">
        <f>N1763*7750</f>
        <v>6874250</v>
      </c>
      <c r="P1763" s="1">
        <v>0</v>
      </c>
      <c r="Q1763" s="1">
        <f t="shared" si="899"/>
        <v>0</v>
      </c>
      <c r="R1763" s="1">
        <v>1330</v>
      </c>
      <c r="S1763" s="1">
        <f t="shared" si="898"/>
        <v>4988830</v>
      </c>
      <c r="T1763" s="1">
        <v>0</v>
      </c>
      <c r="U1763" s="1">
        <v>50000</v>
      </c>
      <c r="V1763" s="1">
        <v>0</v>
      </c>
      <c r="W1763" s="1">
        <v>50000</v>
      </c>
      <c r="X1763" s="1">
        <v>0</v>
      </c>
      <c r="Y1763" s="1">
        <v>0</v>
      </c>
      <c r="Z1763" s="1">
        <v>0</v>
      </c>
      <c r="AA1763" s="1">
        <v>0</v>
      </c>
      <c r="AB1763" s="1">
        <v>0</v>
      </c>
      <c r="AC1763" s="1">
        <v>0</v>
      </c>
      <c r="AD1763" s="1">
        <v>0</v>
      </c>
    </row>
    <row r="1764" spans="1:30" s="20" customFormat="1" ht="36" customHeight="1" x14ac:dyDescent="0.25">
      <c r="A1764" s="2">
        <f t="shared" si="893"/>
        <v>1708</v>
      </c>
      <c r="B1764" s="6">
        <f t="shared" si="890"/>
        <v>1708</v>
      </c>
      <c r="C1764" s="19" t="s">
        <v>2527</v>
      </c>
      <c r="D1764" s="4">
        <f t="shared" si="888"/>
        <v>32878921.75</v>
      </c>
      <c r="E1764" s="1">
        <f t="shared" si="900"/>
        <v>20745155.75</v>
      </c>
      <c r="F1764" s="1">
        <f>804*5285.39</f>
        <v>4249453.5600000005</v>
      </c>
      <c r="G1764" s="1">
        <f>1693*5285.39</f>
        <v>8948165.2700000014</v>
      </c>
      <c r="H1764" s="1">
        <f>390*5285.39</f>
        <v>2061302.1</v>
      </c>
      <c r="I1764" s="1">
        <f>571*5285.39</f>
        <v>3017957.6900000004</v>
      </c>
      <c r="J1764" s="1">
        <f>467*5285.39</f>
        <v>2468277.1300000004</v>
      </c>
      <c r="K1764" s="1">
        <v>0</v>
      </c>
      <c r="L1764" s="2">
        <v>0</v>
      </c>
      <c r="M1764" s="1">
        <v>0</v>
      </c>
      <c r="N1764" s="1">
        <v>940</v>
      </c>
      <c r="O1764" s="1">
        <f>N1764*7750</f>
        <v>7285000</v>
      </c>
      <c r="P1764" s="1">
        <v>0</v>
      </c>
      <c r="Q1764" s="1">
        <f t="shared" si="899"/>
        <v>0</v>
      </c>
      <c r="R1764" s="1">
        <v>1266</v>
      </c>
      <c r="S1764" s="1">
        <f t="shared" si="898"/>
        <v>4748766</v>
      </c>
      <c r="T1764" s="1">
        <v>0</v>
      </c>
      <c r="U1764" s="1">
        <v>50000</v>
      </c>
      <c r="V1764" s="1">
        <v>0</v>
      </c>
      <c r="W1764" s="1">
        <v>50000</v>
      </c>
      <c r="X1764" s="1">
        <v>0</v>
      </c>
      <c r="Y1764" s="1">
        <v>0</v>
      </c>
      <c r="Z1764" s="1">
        <v>0</v>
      </c>
      <c r="AA1764" s="1">
        <v>0</v>
      </c>
      <c r="AB1764" s="1">
        <v>0</v>
      </c>
      <c r="AC1764" s="1">
        <v>0</v>
      </c>
      <c r="AD1764" s="1">
        <v>0</v>
      </c>
    </row>
    <row r="1765" spans="1:30" s="20" customFormat="1" ht="36" customHeight="1" x14ac:dyDescent="0.25">
      <c r="A1765" s="2">
        <f t="shared" si="893"/>
        <v>1709</v>
      </c>
      <c r="B1765" s="6">
        <f t="shared" si="890"/>
        <v>1709</v>
      </c>
      <c r="C1765" s="19" t="s">
        <v>1041</v>
      </c>
      <c r="D1765" s="4">
        <f t="shared" si="888"/>
        <v>11541327.43</v>
      </c>
      <c r="E1765" s="1">
        <f t="shared" si="900"/>
        <v>6615027.4299999997</v>
      </c>
      <c r="F1765" s="1">
        <f>804*2649.19</f>
        <v>2129948.7600000002</v>
      </c>
      <c r="G1765" s="1">
        <f>1693*2649.19</f>
        <v>4485078.67</v>
      </c>
      <c r="H1765" s="1">
        <v>0</v>
      </c>
      <c r="I1765" s="1">
        <v>0</v>
      </c>
      <c r="J1765" s="1">
        <v>0</v>
      </c>
      <c r="K1765" s="1">
        <v>0</v>
      </c>
      <c r="L1765" s="2">
        <v>0</v>
      </c>
      <c r="M1765" s="1">
        <v>0</v>
      </c>
      <c r="N1765" s="1">
        <v>0</v>
      </c>
      <c r="O1765" s="1">
        <v>0</v>
      </c>
      <c r="P1765" s="1">
        <v>0</v>
      </c>
      <c r="Q1765" s="1">
        <f t="shared" si="899"/>
        <v>0</v>
      </c>
      <c r="R1765" s="1">
        <v>1300</v>
      </c>
      <c r="S1765" s="1">
        <f t="shared" si="898"/>
        <v>4876300</v>
      </c>
      <c r="T1765" s="1">
        <v>0</v>
      </c>
      <c r="U1765" s="1">
        <v>50000</v>
      </c>
      <c r="V1765" s="1">
        <v>0</v>
      </c>
      <c r="W1765" s="1">
        <v>0</v>
      </c>
      <c r="X1765" s="1">
        <v>0</v>
      </c>
      <c r="Y1765" s="1">
        <v>0</v>
      </c>
      <c r="Z1765" s="1">
        <v>0</v>
      </c>
      <c r="AA1765" s="1">
        <v>0</v>
      </c>
      <c r="AB1765" s="1">
        <v>0</v>
      </c>
      <c r="AC1765" s="1">
        <v>0</v>
      </c>
      <c r="AD1765" s="1">
        <v>0</v>
      </c>
    </row>
    <row r="1766" spans="1:30" s="20" customFormat="1" ht="36" customHeight="1" x14ac:dyDescent="0.25">
      <c r="A1766" s="2">
        <f t="shared" si="893"/>
        <v>1710</v>
      </c>
      <c r="B1766" s="6">
        <f>A1766</f>
        <v>1710</v>
      </c>
      <c r="C1766" s="19" t="s">
        <v>1044</v>
      </c>
      <c r="D1766" s="4">
        <f t="shared" si="888"/>
        <v>17522684</v>
      </c>
      <c r="E1766" s="1">
        <f>SUM(F1766:K1766)</f>
        <v>8911634</v>
      </c>
      <c r="F1766" s="1">
        <f>804*2270.48</f>
        <v>1825465.92</v>
      </c>
      <c r="G1766" s="1">
        <f>1693*2270.48</f>
        <v>3843922.64</v>
      </c>
      <c r="H1766" s="1">
        <f>390*2270.48</f>
        <v>885487.2</v>
      </c>
      <c r="I1766" s="1">
        <f>571*2270.48</f>
        <v>1296444.08</v>
      </c>
      <c r="J1766" s="1">
        <f>467*2270.48</f>
        <v>1060314.1599999999</v>
      </c>
      <c r="K1766" s="1">
        <v>0</v>
      </c>
      <c r="L1766" s="2">
        <v>0</v>
      </c>
      <c r="M1766" s="1">
        <v>0</v>
      </c>
      <c r="N1766" s="1">
        <v>590</v>
      </c>
      <c r="O1766" s="1">
        <f>N1766*7750</f>
        <v>4572500</v>
      </c>
      <c r="P1766" s="1">
        <v>0</v>
      </c>
      <c r="Q1766" s="1">
        <f>P1766*1400</f>
        <v>0</v>
      </c>
      <c r="R1766" s="1">
        <v>1050</v>
      </c>
      <c r="S1766" s="1">
        <f>R1766*3751</f>
        <v>3938550</v>
      </c>
      <c r="T1766" s="1">
        <v>0</v>
      </c>
      <c r="U1766" s="1">
        <v>50000</v>
      </c>
      <c r="V1766" s="1">
        <v>0</v>
      </c>
      <c r="W1766" s="1">
        <v>50000</v>
      </c>
      <c r="X1766" s="1">
        <v>0</v>
      </c>
      <c r="Y1766" s="1">
        <v>0</v>
      </c>
      <c r="Z1766" s="1">
        <v>0</v>
      </c>
      <c r="AA1766" s="1">
        <v>0</v>
      </c>
      <c r="AB1766" s="1">
        <v>0</v>
      </c>
      <c r="AC1766" s="1">
        <v>0</v>
      </c>
      <c r="AD1766" s="1">
        <v>0</v>
      </c>
    </row>
    <row r="1767" spans="1:30" s="20" customFormat="1" ht="36" customHeight="1" x14ac:dyDescent="0.25">
      <c r="A1767" s="2">
        <f t="shared" si="893"/>
        <v>1711</v>
      </c>
      <c r="B1767" s="6">
        <f>A1767</f>
        <v>1711</v>
      </c>
      <c r="C1767" s="19" t="s">
        <v>1045</v>
      </c>
      <c r="D1767" s="4">
        <f t="shared" si="888"/>
        <v>10776571.24</v>
      </c>
      <c r="E1767" s="1">
        <f>SUM(F1767:K1767)</f>
        <v>5850271.2400000002</v>
      </c>
      <c r="F1767" s="1">
        <f>804*2342.92</f>
        <v>1883707.6800000002</v>
      </c>
      <c r="G1767" s="1">
        <f>1693*2342.92</f>
        <v>3966563.56</v>
      </c>
      <c r="H1767" s="1">
        <v>0</v>
      </c>
      <c r="I1767" s="1">
        <v>0</v>
      </c>
      <c r="J1767" s="1">
        <v>0</v>
      </c>
      <c r="K1767" s="1">
        <v>0</v>
      </c>
      <c r="L1767" s="2">
        <v>0</v>
      </c>
      <c r="M1767" s="1">
        <v>0</v>
      </c>
      <c r="N1767" s="1">
        <v>0</v>
      </c>
      <c r="O1767" s="1">
        <v>0</v>
      </c>
      <c r="P1767" s="1">
        <v>0</v>
      </c>
      <c r="Q1767" s="1">
        <f>P1767*1400</f>
        <v>0</v>
      </c>
      <c r="R1767" s="1">
        <v>1300</v>
      </c>
      <c r="S1767" s="1">
        <f>R1767*3751</f>
        <v>4876300</v>
      </c>
      <c r="T1767" s="1">
        <v>0</v>
      </c>
      <c r="U1767" s="1">
        <v>50000</v>
      </c>
      <c r="V1767" s="1">
        <v>0</v>
      </c>
      <c r="W1767" s="1">
        <v>0</v>
      </c>
      <c r="X1767" s="1">
        <v>0</v>
      </c>
      <c r="Y1767" s="1">
        <v>0</v>
      </c>
      <c r="Z1767" s="1">
        <v>0</v>
      </c>
      <c r="AA1767" s="1">
        <v>0</v>
      </c>
      <c r="AB1767" s="1">
        <v>0</v>
      </c>
      <c r="AC1767" s="1">
        <v>0</v>
      </c>
      <c r="AD1767" s="1">
        <v>0</v>
      </c>
    </row>
    <row r="1768" spans="1:30" s="20" customFormat="1" ht="36" customHeight="1" x14ac:dyDescent="0.25">
      <c r="A1768" s="2">
        <f t="shared" si="893"/>
        <v>1712</v>
      </c>
      <c r="B1768" s="6">
        <f t="shared" si="890"/>
        <v>1712</v>
      </c>
      <c r="C1768" s="19" t="s">
        <v>1042</v>
      </c>
      <c r="D1768" s="4">
        <f t="shared" si="888"/>
        <v>11095562.33</v>
      </c>
      <c r="E1768" s="1">
        <f t="shared" si="900"/>
        <v>6544362.3300000001</v>
      </c>
      <c r="F1768" s="1">
        <f>804*2620.89</f>
        <v>2107195.56</v>
      </c>
      <c r="G1768" s="1">
        <f>1693*2620.89</f>
        <v>4437166.7699999996</v>
      </c>
      <c r="H1768" s="1">
        <v>0</v>
      </c>
      <c r="I1768" s="1">
        <v>0</v>
      </c>
      <c r="J1768" s="1">
        <v>0</v>
      </c>
      <c r="K1768" s="1">
        <v>0</v>
      </c>
      <c r="L1768" s="2">
        <v>0</v>
      </c>
      <c r="M1768" s="1">
        <v>0</v>
      </c>
      <c r="N1768" s="1">
        <v>0</v>
      </c>
      <c r="O1768" s="1">
        <v>0</v>
      </c>
      <c r="P1768" s="1">
        <v>0</v>
      </c>
      <c r="Q1768" s="1">
        <f t="shared" si="899"/>
        <v>0</v>
      </c>
      <c r="R1768" s="1">
        <v>1200</v>
      </c>
      <c r="S1768" s="1">
        <f t="shared" si="898"/>
        <v>4501200</v>
      </c>
      <c r="T1768" s="1">
        <v>0</v>
      </c>
      <c r="U1768" s="1">
        <v>50000</v>
      </c>
      <c r="V1768" s="1">
        <v>0</v>
      </c>
      <c r="W1768" s="1">
        <v>0</v>
      </c>
      <c r="X1768" s="1">
        <v>0</v>
      </c>
      <c r="Y1768" s="1">
        <v>0</v>
      </c>
      <c r="Z1768" s="1">
        <v>0</v>
      </c>
      <c r="AA1768" s="1">
        <v>0</v>
      </c>
      <c r="AB1768" s="1">
        <v>0</v>
      </c>
      <c r="AC1768" s="1">
        <v>0</v>
      </c>
      <c r="AD1768" s="1">
        <v>0</v>
      </c>
    </row>
    <row r="1769" spans="1:30" s="20" customFormat="1" ht="36" customHeight="1" x14ac:dyDescent="0.25">
      <c r="A1769" s="2">
        <f t="shared" si="893"/>
        <v>1713</v>
      </c>
      <c r="B1769" s="6">
        <f>A1769</f>
        <v>1713</v>
      </c>
      <c r="C1769" s="19" t="s">
        <v>1883</v>
      </c>
      <c r="D1769" s="4">
        <f t="shared" si="888"/>
        <v>21200000</v>
      </c>
      <c r="E1769" s="1">
        <f>SUM(F1769:K1769)</f>
        <v>0</v>
      </c>
      <c r="F1769" s="1">
        <v>0</v>
      </c>
      <c r="G1769" s="1">
        <v>0</v>
      </c>
      <c r="H1769" s="1">
        <v>0</v>
      </c>
      <c r="I1769" s="1">
        <v>0</v>
      </c>
      <c r="J1769" s="1">
        <v>0</v>
      </c>
      <c r="K1769" s="1">
        <v>0</v>
      </c>
      <c r="L1769" s="2">
        <v>6</v>
      </c>
      <c r="M1769" s="1">
        <f>L1769*3500000</f>
        <v>21000000</v>
      </c>
      <c r="N1769" s="1">
        <v>0</v>
      </c>
      <c r="O1769" s="1">
        <v>0</v>
      </c>
      <c r="P1769" s="1">
        <v>0</v>
      </c>
      <c r="Q1769" s="1">
        <f>P1769*1400</f>
        <v>0</v>
      </c>
      <c r="R1769" s="1">
        <v>0</v>
      </c>
      <c r="S1769" s="1">
        <f>R1769*3751</f>
        <v>0</v>
      </c>
      <c r="T1769" s="1">
        <v>0</v>
      </c>
      <c r="U1769" s="1">
        <v>200000</v>
      </c>
      <c r="V1769" s="1">
        <v>0</v>
      </c>
      <c r="W1769" s="1">
        <v>0</v>
      </c>
      <c r="X1769" s="1">
        <v>0</v>
      </c>
      <c r="Y1769" s="1">
        <v>0</v>
      </c>
      <c r="Z1769" s="1">
        <v>0</v>
      </c>
      <c r="AA1769" s="1">
        <v>0</v>
      </c>
      <c r="AB1769" s="1">
        <v>0</v>
      </c>
      <c r="AC1769" s="1">
        <v>0</v>
      </c>
      <c r="AD1769" s="1">
        <v>0</v>
      </c>
    </row>
    <row r="1770" spans="1:30" s="20" customFormat="1" ht="36" customHeight="1" x14ac:dyDescent="0.25">
      <c r="A1770" s="2">
        <f t="shared" si="893"/>
        <v>1714</v>
      </c>
      <c r="B1770" s="6">
        <f t="shared" ref="B1770" si="909">A1770</f>
        <v>1714</v>
      </c>
      <c r="C1770" s="19" t="s">
        <v>1884</v>
      </c>
      <c r="D1770" s="4">
        <f t="shared" si="888"/>
        <v>7200000</v>
      </c>
      <c r="E1770" s="1">
        <f t="shared" ref="E1770" si="910">SUM(F1770:K1770)</f>
        <v>0</v>
      </c>
      <c r="F1770" s="1">
        <v>0</v>
      </c>
      <c r="G1770" s="1">
        <v>0</v>
      </c>
      <c r="H1770" s="1">
        <v>0</v>
      </c>
      <c r="I1770" s="1">
        <v>0</v>
      </c>
      <c r="J1770" s="1">
        <v>0</v>
      </c>
      <c r="K1770" s="1">
        <v>0</v>
      </c>
      <c r="L1770" s="2">
        <v>2</v>
      </c>
      <c r="M1770" s="1">
        <f>L1770*3500000</f>
        <v>7000000</v>
      </c>
      <c r="N1770" s="1">
        <v>0</v>
      </c>
      <c r="O1770" s="1">
        <v>0</v>
      </c>
      <c r="P1770" s="1">
        <v>0</v>
      </c>
      <c r="Q1770" s="1">
        <f t="shared" ref="Q1770" si="911">P1770*1400</f>
        <v>0</v>
      </c>
      <c r="R1770" s="1">
        <v>0</v>
      </c>
      <c r="S1770" s="1">
        <f t="shared" ref="S1770" si="912">R1770*3751</f>
        <v>0</v>
      </c>
      <c r="T1770" s="1">
        <v>0</v>
      </c>
      <c r="U1770" s="1">
        <v>200000</v>
      </c>
      <c r="V1770" s="1">
        <v>0</v>
      </c>
      <c r="W1770" s="1">
        <v>0</v>
      </c>
      <c r="X1770" s="1">
        <v>0</v>
      </c>
      <c r="Y1770" s="1">
        <v>0</v>
      </c>
      <c r="Z1770" s="1">
        <v>0</v>
      </c>
      <c r="AA1770" s="1">
        <v>0</v>
      </c>
      <c r="AB1770" s="1">
        <v>0</v>
      </c>
      <c r="AC1770" s="1">
        <v>0</v>
      </c>
      <c r="AD1770" s="1">
        <v>0</v>
      </c>
    </row>
    <row r="1771" spans="1:30" s="20" customFormat="1" ht="36" customHeight="1" x14ac:dyDescent="0.25">
      <c r="A1771" s="2">
        <f t="shared" si="893"/>
        <v>1715</v>
      </c>
      <c r="B1771" s="6">
        <f t="shared" ref="B1771" si="913">A1771</f>
        <v>1715</v>
      </c>
      <c r="C1771" s="19" t="s">
        <v>1885</v>
      </c>
      <c r="D1771" s="4">
        <f t="shared" si="888"/>
        <v>10700000</v>
      </c>
      <c r="E1771" s="1">
        <f t="shared" ref="E1771" si="914">SUM(F1771:K1771)</f>
        <v>0</v>
      </c>
      <c r="F1771" s="1">
        <v>0</v>
      </c>
      <c r="G1771" s="1">
        <v>0</v>
      </c>
      <c r="H1771" s="1">
        <v>0</v>
      </c>
      <c r="I1771" s="1">
        <v>0</v>
      </c>
      <c r="J1771" s="1">
        <v>0</v>
      </c>
      <c r="K1771" s="1">
        <v>0</v>
      </c>
      <c r="L1771" s="2">
        <v>3</v>
      </c>
      <c r="M1771" s="1">
        <f>L1771*3500000</f>
        <v>10500000</v>
      </c>
      <c r="N1771" s="1">
        <v>0</v>
      </c>
      <c r="O1771" s="1">
        <v>0</v>
      </c>
      <c r="P1771" s="1">
        <v>0</v>
      </c>
      <c r="Q1771" s="1">
        <f t="shared" ref="Q1771" si="915">P1771*1400</f>
        <v>0</v>
      </c>
      <c r="R1771" s="1">
        <v>0</v>
      </c>
      <c r="S1771" s="1">
        <f t="shared" ref="S1771" si="916">R1771*3751</f>
        <v>0</v>
      </c>
      <c r="T1771" s="1">
        <v>0</v>
      </c>
      <c r="U1771" s="1">
        <v>200000</v>
      </c>
      <c r="V1771" s="1">
        <v>0</v>
      </c>
      <c r="W1771" s="1">
        <v>0</v>
      </c>
      <c r="X1771" s="1">
        <v>0</v>
      </c>
      <c r="Y1771" s="1">
        <v>0</v>
      </c>
      <c r="Z1771" s="1">
        <v>0</v>
      </c>
      <c r="AA1771" s="1">
        <v>0</v>
      </c>
      <c r="AB1771" s="1">
        <v>0</v>
      </c>
      <c r="AC1771" s="1">
        <v>0</v>
      </c>
      <c r="AD1771" s="1">
        <v>0</v>
      </c>
    </row>
    <row r="1772" spans="1:30" s="20" customFormat="1" ht="36" customHeight="1" x14ac:dyDescent="0.25">
      <c r="A1772" s="2">
        <f t="shared" si="893"/>
        <v>1716</v>
      </c>
      <c r="B1772" s="6">
        <f>A1772</f>
        <v>1716</v>
      </c>
      <c r="C1772" s="19" t="s">
        <v>1648</v>
      </c>
      <c r="D1772" s="4">
        <f t="shared" si="888"/>
        <v>25371487.5</v>
      </c>
      <c r="E1772" s="1">
        <f>SUM(F1772:K1772)</f>
        <v>25251487.5</v>
      </c>
      <c r="F1772" s="1">
        <f>804*6433.5</f>
        <v>5172534</v>
      </c>
      <c r="G1772" s="1">
        <f>1693*6433.5</f>
        <v>10891915.5</v>
      </c>
      <c r="H1772" s="1">
        <f>390*6433.5</f>
        <v>2509065</v>
      </c>
      <c r="I1772" s="1">
        <f>571*6433.5</f>
        <v>3673528.5</v>
      </c>
      <c r="J1772" s="1">
        <f>467*6433.5</f>
        <v>3004444.5</v>
      </c>
      <c r="K1772" s="1">
        <v>0</v>
      </c>
      <c r="L1772" s="2">
        <v>0</v>
      </c>
      <c r="M1772" s="1">
        <v>0</v>
      </c>
      <c r="N1772" s="1">
        <v>0</v>
      </c>
      <c r="O1772" s="1">
        <v>0</v>
      </c>
      <c r="P1772" s="1">
        <v>50</v>
      </c>
      <c r="Q1772" s="1">
        <f>P1772*1400</f>
        <v>70000</v>
      </c>
      <c r="R1772" s="1">
        <v>0</v>
      </c>
      <c r="S1772" s="1">
        <f>R1772*3751</f>
        <v>0</v>
      </c>
      <c r="T1772" s="1">
        <v>0</v>
      </c>
      <c r="U1772" s="1">
        <v>50000</v>
      </c>
      <c r="V1772" s="1">
        <v>0</v>
      </c>
      <c r="W1772" s="1">
        <v>0</v>
      </c>
      <c r="X1772" s="1">
        <v>0</v>
      </c>
      <c r="Y1772" s="1">
        <v>0</v>
      </c>
      <c r="Z1772" s="1">
        <v>0</v>
      </c>
      <c r="AA1772" s="1">
        <v>0</v>
      </c>
      <c r="AB1772" s="1">
        <v>0</v>
      </c>
      <c r="AC1772" s="1">
        <v>0</v>
      </c>
      <c r="AD1772" s="1">
        <v>0</v>
      </c>
    </row>
    <row r="1773" spans="1:30" s="20" customFormat="1" ht="36" customHeight="1" x14ac:dyDescent="0.25">
      <c r="A1773" s="2">
        <f t="shared" si="893"/>
        <v>1717</v>
      </c>
      <c r="B1773" s="6">
        <f t="shared" si="890"/>
        <v>1717</v>
      </c>
      <c r="C1773" s="19" t="s">
        <v>1047</v>
      </c>
      <c r="D1773" s="4">
        <f t="shared" si="888"/>
        <v>30988888.5</v>
      </c>
      <c r="E1773" s="1">
        <f t="shared" si="900"/>
        <v>18088833.5</v>
      </c>
      <c r="F1773" s="1">
        <f>804*4608.62</f>
        <v>3705330.48</v>
      </c>
      <c r="G1773" s="1">
        <f>1693*4608.62</f>
        <v>7802393.6600000001</v>
      </c>
      <c r="H1773" s="1">
        <f>390*4608.62</f>
        <v>1797361.8</v>
      </c>
      <c r="I1773" s="1">
        <f>571*4608.62</f>
        <v>2631522.02</v>
      </c>
      <c r="J1773" s="1">
        <f>467*4608.62</f>
        <v>2152225.54</v>
      </c>
      <c r="K1773" s="1">
        <v>0</v>
      </c>
      <c r="L1773" s="2">
        <v>0</v>
      </c>
      <c r="M1773" s="1">
        <v>0</v>
      </c>
      <c r="N1773" s="1">
        <v>899</v>
      </c>
      <c r="O1773" s="1">
        <f>N1773*7750</f>
        <v>6967250</v>
      </c>
      <c r="P1773" s="1">
        <v>0</v>
      </c>
      <c r="Q1773" s="1">
        <f t="shared" si="899"/>
        <v>0</v>
      </c>
      <c r="R1773" s="1">
        <v>1555</v>
      </c>
      <c r="S1773" s="1">
        <f t="shared" si="898"/>
        <v>5832805</v>
      </c>
      <c r="T1773" s="1">
        <v>0</v>
      </c>
      <c r="U1773" s="1">
        <v>50000</v>
      </c>
      <c r="V1773" s="1">
        <v>0</v>
      </c>
      <c r="W1773" s="1">
        <v>50000</v>
      </c>
      <c r="X1773" s="1">
        <v>0</v>
      </c>
      <c r="Y1773" s="1">
        <v>0</v>
      </c>
      <c r="Z1773" s="1">
        <v>0</v>
      </c>
      <c r="AA1773" s="1">
        <v>0</v>
      </c>
      <c r="AB1773" s="1">
        <v>0</v>
      </c>
      <c r="AC1773" s="1">
        <v>0</v>
      </c>
      <c r="AD1773" s="1">
        <v>0</v>
      </c>
    </row>
    <row r="1774" spans="1:30" s="20" customFormat="1" ht="36" customHeight="1" x14ac:dyDescent="0.25">
      <c r="A1774" s="2">
        <f t="shared" si="893"/>
        <v>1718</v>
      </c>
      <c r="B1774" s="6">
        <f t="shared" si="890"/>
        <v>1718</v>
      </c>
      <c r="C1774" s="19" t="s">
        <v>1049</v>
      </c>
      <c r="D1774" s="4">
        <f t="shared" si="888"/>
        <v>3020047.5000000005</v>
      </c>
      <c r="E1774" s="1">
        <f t="shared" si="900"/>
        <v>2970047.5000000005</v>
      </c>
      <c r="F1774" s="1">
        <f>804*756.7</f>
        <v>608386.80000000005</v>
      </c>
      <c r="G1774" s="1">
        <f>1693*756.7</f>
        <v>1281093.1000000001</v>
      </c>
      <c r="H1774" s="1">
        <f>390*756.7</f>
        <v>295113</v>
      </c>
      <c r="I1774" s="1">
        <f>571*756.7</f>
        <v>432075.7</v>
      </c>
      <c r="J1774" s="1">
        <f>467*756.7</f>
        <v>353378.9</v>
      </c>
      <c r="K1774" s="1">
        <v>0</v>
      </c>
      <c r="L1774" s="2">
        <v>0</v>
      </c>
      <c r="M1774" s="1">
        <v>0</v>
      </c>
      <c r="N1774" s="1">
        <v>0</v>
      </c>
      <c r="O1774" s="1">
        <v>0</v>
      </c>
      <c r="P1774" s="1">
        <v>0</v>
      </c>
      <c r="Q1774" s="1">
        <f t="shared" si="899"/>
        <v>0</v>
      </c>
      <c r="R1774" s="1">
        <v>0</v>
      </c>
      <c r="S1774" s="1">
        <f t="shared" ref="S1774:S1789" si="917">R1774*3751</f>
        <v>0</v>
      </c>
      <c r="T1774" s="1">
        <v>0</v>
      </c>
      <c r="U1774" s="1">
        <v>50000</v>
      </c>
      <c r="V1774" s="1">
        <v>0</v>
      </c>
      <c r="W1774" s="1">
        <v>0</v>
      </c>
      <c r="X1774" s="1">
        <v>0</v>
      </c>
      <c r="Y1774" s="1">
        <v>0</v>
      </c>
      <c r="Z1774" s="1">
        <v>0</v>
      </c>
      <c r="AA1774" s="1">
        <v>0</v>
      </c>
      <c r="AB1774" s="1">
        <v>0</v>
      </c>
      <c r="AC1774" s="1">
        <v>0</v>
      </c>
      <c r="AD1774" s="1">
        <v>0</v>
      </c>
    </row>
    <row r="1775" spans="1:30" s="20" customFormat="1" ht="36" customHeight="1" x14ac:dyDescent="0.25">
      <c r="A1775" s="2">
        <f t="shared" si="893"/>
        <v>1719</v>
      </c>
      <c r="B1775" s="6">
        <f t="shared" si="890"/>
        <v>1719</v>
      </c>
      <c r="C1775" s="19" t="s">
        <v>1052</v>
      </c>
      <c r="D1775" s="4">
        <f t="shared" si="888"/>
        <v>3597837.4799999995</v>
      </c>
      <c r="E1775" s="1">
        <f t="shared" si="900"/>
        <v>3547837.4799999995</v>
      </c>
      <c r="F1775" s="1">
        <f>804*1420.84</f>
        <v>1142355.3599999999</v>
      </c>
      <c r="G1775" s="1">
        <f>1693*1420.84</f>
        <v>2405482.1199999996</v>
      </c>
      <c r="H1775" s="1">
        <v>0</v>
      </c>
      <c r="I1775" s="1">
        <v>0</v>
      </c>
      <c r="J1775" s="1">
        <v>0</v>
      </c>
      <c r="K1775" s="1">
        <v>0</v>
      </c>
      <c r="L1775" s="2">
        <v>0</v>
      </c>
      <c r="M1775" s="1">
        <v>0</v>
      </c>
      <c r="N1775" s="1">
        <v>0</v>
      </c>
      <c r="O1775" s="1">
        <v>0</v>
      </c>
      <c r="P1775" s="1">
        <v>0</v>
      </c>
      <c r="Q1775" s="1">
        <f t="shared" si="899"/>
        <v>0</v>
      </c>
      <c r="R1775" s="1">
        <v>0</v>
      </c>
      <c r="S1775" s="1">
        <f t="shared" si="917"/>
        <v>0</v>
      </c>
      <c r="T1775" s="1">
        <v>0</v>
      </c>
      <c r="U1775" s="1">
        <v>50000</v>
      </c>
      <c r="V1775" s="1">
        <v>0</v>
      </c>
      <c r="W1775" s="1">
        <v>0</v>
      </c>
      <c r="X1775" s="1">
        <v>0</v>
      </c>
      <c r="Y1775" s="1">
        <v>0</v>
      </c>
      <c r="Z1775" s="1">
        <v>0</v>
      </c>
      <c r="AA1775" s="1">
        <v>0</v>
      </c>
      <c r="AB1775" s="1">
        <v>0</v>
      </c>
      <c r="AC1775" s="1">
        <v>0</v>
      </c>
      <c r="AD1775" s="1">
        <v>0</v>
      </c>
    </row>
    <row r="1776" spans="1:30" s="20" customFormat="1" ht="36" customHeight="1" x14ac:dyDescent="0.25">
      <c r="A1776" s="2">
        <f t="shared" si="893"/>
        <v>1720</v>
      </c>
      <c r="B1776" s="6">
        <f>A1776</f>
        <v>1720</v>
      </c>
      <c r="C1776" s="19" t="s">
        <v>1059</v>
      </c>
      <c r="D1776" s="4">
        <f t="shared" si="888"/>
        <v>3634557.5</v>
      </c>
      <c r="E1776" s="1">
        <f>SUM(F1776:K1776)</f>
        <v>1996647.4999999998</v>
      </c>
      <c r="F1776" s="1">
        <f>804*508.7</f>
        <v>408994.8</v>
      </c>
      <c r="G1776" s="1">
        <f>1693*508.7</f>
        <v>861229.1</v>
      </c>
      <c r="H1776" s="1">
        <f>390*508.7</f>
        <v>198393</v>
      </c>
      <c r="I1776" s="1">
        <f>571*508.7</f>
        <v>290467.7</v>
      </c>
      <c r="J1776" s="1">
        <f>467*508.7</f>
        <v>237562.9</v>
      </c>
      <c r="K1776" s="1">
        <v>0</v>
      </c>
      <c r="L1776" s="2">
        <v>0</v>
      </c>
      <c r="M1776" s="1">
        <v>0</v>
      </c>
      <c r="N1776" s="1">
        <v>0</v>
      </c>
      <c r="O1776" s="1">
        <v>0</v>
      </c>
      <c r="P1776" s="1">
        <v>0</v>
      </c>
      <c r="Q1776" s="1">
        <f>P1776*1400</f>
        <v>0</v>
      </c>
      <c r="R1776" s="1">
        <v>410</v>
      </c>
      <c r="S1776" s="1">
        <f>R1776*3751</f>
        <v>1537910</v>
      </c>
      <c r="T1776" s="1">
        <v>0</v>
      </c>
      <c r="U1776" s="1">
        <v>50000</v>
      </c>
      <c r="V1776" s="1">
        <v>0</v>
      </c>
      <c r="W1776" s="1">
        <v>50000</v>
      </c>
      <c r="X1776" s="1">
        <v>0</v>
      </c>
      <c r="Y1776" s="1">
        <v>0</v>
      </c>
      <c r="Z1776" s="1">
        <v>0</v>
      </c>
      <c r="AA1776" s="1">
        <v>0</v>
      </c>
      <c r="AB1776" s="1">
        <v>0</v>
      </c>
      <c r="AC1776" s="1">
        <v>0</v>
      </c>
      <c r="AD1776" s="1">
        <v>0</v>
      </c>
    </row>
    <row r="1777" spans="1:30" s="20" customFormat="1" ht="36" customHeight="1" x14ac:dyDescent="0.25">
      <c r="A1777" s="2">
        <f t="shared" si="893"/>
        <v>1721</v>
      </c>
      <c r="B1777" s="6">
        <f>A1777</f>
        <v>1721</v>
      </c>
      <c r="C1777" s="19" t="s">
        <v>1060</v>
      </c>
      <c r="D1777" s="4">
        <f t="shared" si="888"/>
        <v>3621487.25</v>
      </c>
      <c r="E1777" s="1">
        <f>SUM(F1777:K1777)</f>
        <v>1983577.2500000002</v>
      </c>
      <c r="F1777" s="1">
        <f>804*505.37</f>
        <v>406317.48</v>
      </c>
      <c r="G1777" s="1">
        <f>1693*505.37</f>
        <v>855591.41</v>
      </c>
      <c r="H1777" s="1">
        <f>390*505.37</f>
        <v>197094.3</v>
      </c>
      <c r="I1777" s="1">
        <f>571*505.37</f>
        <v>288566.27</v>
      </c>
      <c r="J1777" s="1">
        <f>467*505.37</f>
        <v>236007.79</v>
      </c>
      <c r="K1777" s="1">
        <v>0</v>
      </c>
      <c r="L1777" s="2">
        <v>0</v>
      </c>
      <c r="M1777" s="1">
        <v>0</v>
      </c>
      <c r="N1777" s="1">
        <v>0</v>
      </c>
      <c r="O1777" s="1">
        <v>0</v>
      </c>
      <c r="P1777" s="1">
        <v>0</v>
      </c>
      <c r="Q1777" s="1">
        <f>P1777*1400</f>
        <v>0</v>
      </c>
      <c r="R1777" s="1">
        <v>410</v>
      </c>
      <c r="S1777" s="1">
        <f>R1777*3751</f>
        <v>1537910</v>
      </c>
      <c r="T1777" s="1">
        <v>0</v>
      </c>
      <c r="U1777" s="1">
        <v>50000</v>
      </c>
      <c r="V1777" s="1">
        <v>0</v>
      </c>
      <c r="W1777" s="1">
        <v>50000</v>
      </c>
      <c r="X1777" s="1">
        <v>0</v>
      </c>
      <c r="Y1777" s="1">
        <v>0</v>
      </c>
      <c r="Z1777" s="1">
        <v>0</v>
      </c>
      <c r="AA1777" s="1">
        <v>0</v>
      </c>
      <c r="AB1777" s="1">
        <v>0</v>
      </c>
      <c r="AC1777" s="1">
        <v>0</v>
      </c>
      <c r="AD1777" s="1">
        <v>0</v>
      </c>
    </row>
    <row r="1778" spans="1:30" s="20" customFormat="1" ht="36" customHeight="1" x14ac:dyDescent="0.25">
      <c r="A1778" s="2">
        <f t="shared" si="893"/>
        <v>1722</v>
      </c>
      <c r="B1778" s="6">
        <f t="shared" ref="B1778:B1789" si="918">A1778</f>
        <v>1722</v>
      </c>
      <c r="C1778" s="19" t="s">
        <v>1053</v>
      </c>
      <c r="D1778" s="4">
        <f t="shared" si="888"/>
        <v>1270827.5000000002</v>
      </c>
      <c r="E1778" s="1">
        <f t="shared" si="900"/>
        <v>1170827.5000000002</v>
      </c>
      <c r="F1778" s="1">
        <f>804*298.3</f>
        <v>239833.2</v>
      </c>
      <c r="G1778" s="1">
        <f>1693*298.3</f>
        <v>505021.9</v>
      </c>
      <c r="H1778" s="1">
        <f>390*298.3</f>
        <v>116337</v>
      </c>
      <c r="I1778" s="1">
        <f>571*298.3</f>
        <v>170329.30000000002</v>
      </c>
      <c r="J1778" s="1">
        <f>467*298.3</f>
        <v>139306.1</v>
      </c>
      <c r="K1778" s="1">
        <v>0</v>
      </c>
      <c r="L1778" s="2">
        <v>0</v>
      </c>
      <c r="M1778" s="1">
        <v>0</v>
      </c>
      <c r="N1778" s="1">
        <v>0</v>
      </c>
      <c r="O1778" s="1">
        <v>0</v>
      </c>
      <c r="P1778" s="1">
        <v>0</v>
      </c>
      <c r="Q1778" s="1">
        <f t="shared" si="899"/>
        <v>0</v>
      </c>
      <c r="R1778" s="1">
        <v>0</v>
      </c>
      <c r="S1778" s="1">
        <f t="shared" si="917"/>
        <v>0</v>
      </c>
      <c r="T1778" s="1">
        <v>0</v>
      </c>
      <c r="U1778" s="1">
        <v>50000</v>
      </c>
      <c r="V1778" s="1">
        <v>0</v>
      </c>
      <c r="W1778" s="1">
        <v>50000</v>
      </c>
      <c r="X1778" s="1">
        <v>0</v>
      </c>
      <c r="Y1778" s="1">
        <v>0</v>
      </c>
      <c r="Z1778" s="1">
        <v>0</v>
      </c>
      <c r="AA1778" s="1">
        <v>0</v>
      </c>
      <c r="AB1778" s="1">
        <v>0</v>
      </c>
      <c r="AC1778" s="1">
        <v>0</v>
      </c>
      <c r="AD1778" s="1">
        <v>0</v>
      </c>
    </row>
    <row r="1779" spans="1:30" s="20" customFormat="1" ht="36" customHeight="1" x14ac:dyDescent="0.25">
      <c r="A1779" s="2">
        <f t="shared" si="893"/>
        <v>1723</v>
      </c>
      <c r="B1779" s="6">
        <f t="shared" si="918"/>
        <v>1723</v>
      </c>
      <c r="C1779" s="19" t="s">
        <v>1054</v>
      </c>
      <c r="D1779" s="4">
        <f t="shared" si="888"/>
        <v>4471681.5</v>
      </c>
      <c r="E1779" s="1">
        <f t="shared" si="900"/>
        <v>2833771.5</v>
      </c>
      <c r="F1779" s="1">
        <f>804*721.98</f>
        <v>580471.92000000004</v>
      </c>
      <c r="G1779" s="1">
        <f>1693*721.98</f>
        <v>1222312.1400000001</v>
      </c>
      <c r="H1779" s="1">
        <f>390*721.98</f>
        <v>281572.2</v>
      </c>
      <c r="I1779" s="1">
        <f>571*721.98</f>
        <v>412250.58</v>
      </c>
      <c r="J1779" s="1">
        <f>467*721.98</f>
        <v>337164.66000000003</v>
      </c>
      <c r="K1779" s="1">
        <v>0</v>
      </c>
      <c r="L1779" s="2">
        <v>0</v>
      </c>
      <c r="M1779" s="1">
        <v>0</v>
      </c>
      <c r="N1779" s="1">
        <v>0</v>
      </c>
      <c r="O1779" s="1">
        <v>0</v>
      </c>
      <c r="P1779" s="1">
        <v>0</v>
      </c>
      <c r="Q1779" s="1">
        <f t="shared" ref="Q1779:Q1780" si="919">P1779*1400</f>
        <v>0</v>
      </c>
      <c r="R1779" s="1">
        <v>410</v>
      </c>
      <c r="S1779" s="1">
        <f t="shared" si="917"/>
        <v>1537910</v>
      </c>
      <c r="T1779" s="1">
        <v>0</v>
      </c>
      <c r="U1779" s="1">
        <v>50000</v>
      </c>
      <c r="V1779" s="1">
        <v>0</v>
      </c>
      <c r="W1779" s="1">
        <v>50000</v>
      </c>
      <c r="X1779" s="1">
        <v>0</v>
      </c>
      <c r="Y1779" s="1">
        <v>0</v>
      </c>
      <c r="Z1779" s="1">
        <v>0</v>
      </c>
      <c r="AA1779" s="1">
        <v>0</v>
      </c>
      <c r="AB1779" s="1">
        <v>0</v>
      </c>
      <c r="AC1779" s="1">
        <v>0</v>
      </c>
      <c r="AD1779" s="1">
        <v>0</v>
      </c>
    </row>
    <row r="1780" spans="1:30" s="20" customFormat="1" ht="36" customHeight="1" x14ac:dyDescent="0.25">
      <c r="A1780" s="2">
        <f t="shared" si="893"/>
        <v>1724</v>
      </c>
      <c r="B1780" s="2">
        <f t="shared" si="918"/>
        <v>1724</v>
      </c>
      <c r="C1780" s="19" t="s">
        <v>1055</v>
      </c>
      <c r="D1780" s="39">
        <f t="shared" ref="D1780:D1789" si="920">E1780+M1780+O1780+Q1780+S1780+T1780+U1780+V1780+W1780+X1780+Z1780+AA1780+AB1780+AC1780+AD1780</f>
        <v>2751197</v>
      </c>
      <c r="E1780" s="1">
        <f t="shared" si="900"/>
        <v>1113287</v>
      </c>
      <c r="F1780" s="1">
        <f>804*283.64</f>
        <v>228046.56</v>
      </c>
      <c r="G1780" s="1">
        <f>1693*283.64</f>
        <v>480202.51999999996</v>
      </c>
      <c r="H1780" s="1">
        <f>390*283.64</f>
        <v>110619.59999999999</v>
      </c>
      <c r="I1780" s="1">
        <f>571*283.64</f>
        <v>161958.44</v>
      </c>
      <c r="J1780" s="1">
        <f>467*283.64</f>
        <v>132459.88</v>
      </c>
      <c r="K1780" s="1">
        <v>0</v>
      </c>
      <c r="L1780" s="2">
        <v>0</v>
      </c>
      <c r="M1780" s="1">
        <v>0</v>
      </c>
      <c r="N1780" s="1">
        <v>0</v>
      </c>
      <c r="O1780" s="1">
        <v>0</v>
      </c>
      <c r="P1780" s="1">
        <v>0</v>
      </c>
      <c r="Q1780" s="1">
        <f t="shared" si="919"/>
        <v>0</v>
      </c>
      <c r="R1780" s="1">
        <v>410</v>
      </c>
      <c r="S1780" s="1">
        <f t="shared" si="917"/>
        <v>1537910</v>
      </c>
      <c r="T1780" s="1">
        <v>0</v>
      </c>
      <c r="U1780" s="1">
        <v>50000</v>
      </c>
      <c r="V1780" s="1">
        <v>0</v>
      </c>
      <c r="W1780" s="1">
        <v>50000</v>
      </c>
      <c r="X1780" s="1">
        <v>0</v>
      </c>
      <c r="Y1780" s="1">
        <v>0</v>
      </c>
      <c r="Z1780" s="1">
        <v>0</v>
      </c>
      <c r="AA1780" s="1">
        <v>0</v>
      </c>
      <c r="AB1780" s="1">
        <v>0</v>
      </c>
      <c r="AC1780" s="1">
        <v>0</v>
      </c>
      <c r="AD1780" s="1">
        <v>0</v>
      </c>
    </row>
    <row r="1781" spans="1:30" s="20" customFormat="1" ht="36" customHeight="1" x14ac:dyDescent="0.25">
      <c r="A1781" s="2">
        <f t="shared" si="893"/>
        <v>1725</v>
      </c>
      <c r="B1781" s="2">
        <f t="shared" si="918"/>
        <v>1725</v>
      </c>
      <c r="C1781" s="19" t="s">
        <v>1062</v>
      </c>
      <c r="D1781" s="39">
        <f t="shared" si="920"/>
        <v>5615166.5</v>
      </c>
      <c r="E1781" s="1">
        <f t="shared" si="900"/>
        <v>3314566.4999999995</v>
      </c>
      <c r="F1781" s="1">
        <v>0</v>
      </c>
      <c r="G1781" s="1">
        <f>1693*1299.83</f>
        <v>2200612.19</v>
      </c>
      <c r="H1781" s="1">
        <f>390*1299.83</f>
        <v>506933.69999999995</v>
      </c>
      <c r="I1781" s="1">
        <v>0</v>
      </c>
      <c r="J1781" s="1">
        <f>467*1299.83</f>
        <v>607020.61</v>
      </c>
      <c r="K1781" s="1">
        <v>0</v>
      </c>
      <c r="L1781" s="2">
        <v>0</v>
      </c>
      <c r="M1781" s="1">
        <v>0</v>
      </c>
      <c r="N1781" s="1">
        <v>0</v>
      </c>
      <c r="O1781" s="1">
        <v>0</v>
      </c>
      <c r="P1781" s="1">
        <v>0</v>
      </c>
      <c r="Q1781" s="1">
        <f>P1781*1400</f>
        <v>0</v>
      </c>
      <c r="R1781" s="1">
        <v>600</v>
      </c>
      <c r="S1781" s="1">
        <f t="shared" si="917"/>
        <v>2250600</v>
      </c>
      <c r="T1781" s="1">
        <v>0</v>
      </c>
      <c r="U1781" s="1">
        <v>50000</v>
      </c>
      <c r="V1781" s="1">
        <v>0</v>
      </c>
      <c r="W1781" s="1">
        <v>0</v>
      </c>
      <c r="X1781" s="1">
        <v>0</v>
      </c>
      <c r="Y1781" s="1">
        <v>0</v>
      </c>
      <c r="Z1781" s="1">
        <v>0</v>
      </c>
      <c r="AA1781" s="1">
        <v>0</v>
      </c>
      <c r="AB1781" s="1">
        <v>0</v>
      </c>
      <c r="AC1781" s="1">
        <v>0</v>
      </c>
      <c r="AD1781" s="1">
        <v>0</v>
      </c>
    </row>
    <row r="1782" spans="1:30" s="20" customFormat="1" ht="36" customHeight="1" x14ac:dyDescent="0.25">
      <c r="A1782" s="2">
        <f t="shared" si="893"/>
        <v>1726</v>
      </c>
      <c r="B1782" s="6">
        <f t="shared" si="918"/>
        <v>1726</v>
      </c>
      <c r="C1782" s="19" t="s">
        <v>1064</v>
      </c>
      <c r="D1782" s="4">
        <f t="shared" si="920"/>
        <v>4643881.08</v>
      </c>
      <c r="E1782" s="1">
        <f t="shared" si="900"/>
        <v>2418301.08</v>
      </c>
      <c r="F1782" s="1">
        <f>804*721.02</f>
        <v>579700.07999999996</v>
      </c>
      <c r="G1782" s="1">
        <f>1693*721.02</f>
        <v>1220686.8599999999</v>
      </c>
      <c r="H1782" s="1">
        <f>390*721.02</f>
        <v>281197.8</v>
      </c>
      <c r="I1782" s="1">
        <v>0</v>
      </c>
      <c r="J1782" s="1">
        <f>467*721.02</f>
        <v>336716.33999999997</v>
      </c>
      <c r="K1782" s="1">
        <v>0</v>
      </c>
      <c r="L1782" s="2">
        <v>0</v>
      </c>
      <c r="M1782" s="1">
        <v>0</v>
      </c>
      <c r="N1782" s="1">
        <v>0</v>
      </c>
      <c r="O1782" s="1">
        <v>0</v>
      </c>
      <c r="P1782" s="1">
        <v>0</v>
      </c>
      <c r="Q1782" s="1">
        <f>P1782*1400</f>
        <v>0</v>
      </c>
      <c r="R1782" s="1">
        <v>580</v>
      </c>
      <c r="S1782" s="1">
        <f t="shared" si="917"/>
        <v>2175580</v>
      </c>
      <c r="T1782" s="1">
        <v>0</v>
      </c>
      <c r="U1782" s="1">
        <v>50000</v>
      </c>
      <c r="V1782" s="1">
        <v>0</v>
      </c>
      <c r="W1782" s="1">
        <v>0</v>
      </c>
      <c r="X1782" s="1">
        <v>0</v>
      </c>
      <c r="Y1782" s="1">
        <v>0</v>
      </c>
      <c r="Z1782" s="1">
        <v>0</v>
      </c>
      <c r="AA1782" s="1">
        <v>0</v>
      </c>
      <c r="AB1782" s="1">
        <v>0</v>
      </c>
      <c r="AC1782" s="1">
        <v>0</v>
      </c>
      <c r="AD1782" s="1">
        <v>0</v>
      </c>
    </row>
    <row r="1783" spans="1:30" s="20" customFormat="1" ht="36" customHeight="1" x14ac:dyDescent="0.25">
      <c r="A1783" s="2">
        <f t="shared" si="893"/>
        <v>1727</v>
      </c>
      <c r="B1783" s="6">
        <f t="shared" si="918"/>
        <v>1727</v>
      </c>
      <c r="C1783" s="19" t="s">
        <v>1065</v>
      </c>
      <c r="D1783" s="4">
        <f t="shared" si="920"/>
        <v>31301083.25</v>
      </c>
      <c r="E1783" s="1">
        <f t="shared" si="900"/>
        <v>19429103.25</v>
      </c>
      <c r="F1783" s="1">
        <f>804*4950.09</f>
        <v>3979872.3600000003</v>
      </c>
      <c r="G1783" s="1">
        <f>1693*4950.09</f>
        <v>8380502.3700000001</v>
      </c>
      <c r="H1783" s="1">
        <f>390*4950.09</f>
        <v>1930535.1</v>
      </c>
      <c r="I1783" s="1">
        <f>571*4950.09</f>
        <v>2826501.39</v>
      </c>
      <c r="J1783" s="1">
        <f>467*4950.09</f>
        <v>2311692.0300000003</v>
      </c>
      <c r="K1783" s="1">
        <v>0</v>
      </c>
      <c r="L1783" s="2">
        <v>0</v>
      </c>
      <c r="M1783" s="1">
        <v>0</v>
      </c>
      <c r="N1783" s="1">
        <v>935</v>
      </c>
      <c r="O1783" s="1">
        <f>N1783*4968</f>
        <v>4645080</v>
      </c>
      <c r="P1783" s="1">
        <v>0</v>
      </c>
      <c r="Q1783" s="1">
        <f t="shared" ref="Q1783:Q1785" si="921">P1783*1400</f>
        <v>0</v>
      </c>
      <c r="R1783" s="1">
        <v>1900</v>
      </c>
      <c r="S1783" s="1">
        <f t="shared" si="917"/>
        <v>7126900</v>
      </c>
      <c r="T1783" s="1">
        <v>0</v>
      </c>
      <c r="U1783" s="1">
        <v>50000</v>
      </c>
      <c r="V1783" s="1">
        <v>0</v>
      </c>
      <c r="W1783" s="1">
        <v>50000</v>
      </c>
      <c r="X1783" s="1">
        <v>0</v>
      </c>
      <c r="Y1783" s="1">
        <v>0</v>
      </c>
      <c r="Z1783" s="1">
        <v>0</v>
      </c>
      <c r="AA1783" s="1">
        <v>0</v>
      </c>
      <c r="AB1783" s="1">
        <v>0</v>
      </c>
      <c r="AC1783" s="1">
        <v>0</v>
      </c>
      <c r="AD1783" s="1">
        <v>0</v>
      </c>
    </row>
    <row r="1784" spans="1:30" s="20" customFormat="1" ht="36" customHeight="1" x14ac:dyDescent="0.25">
      <c r="A1784" s="2">
        <f t="shared" si="893"/>
        <v>1728</v>
      </c>
      <c r="B1784" s="6">
        <f t="shared" si="918"/>
        <v>1728</v>
      </c>
      <c r="C1784" s="19" t="s">
        <v>1066</v>
      </c>
      <c r="D1784" s="4">
        <f t="shared" si="920"/>
        <v>24257793.5</v>
      </c>
      <c r="E1784" s="1">
        <f t="shared" si="900"/>
        <v>14474222.499999998</v>
      </c>
      <c r="F1784" s="1">
        <f>804*3687.7</f>
        <v>2964910.8</v>
      </c>
      <c r="G1784" s="1">
        <f>1693*3687.7</f>
        <v>6243276.0999999996</v>
      </c>
      <c r="H1784" s="1">
        <f>390*3687.7</f>
        <v>1438203</v>
      </c>
      <c r="I1784" s="1">
        <f>571*3687.7</f>
        <v>2105676.6999999997</v>
      </c>
      <c r="J1784" s="1">
        <f>467*3687.7</f>
        <v>1722155.9</v>
      </c>
      <c r="K1784" s="1">
        <v>0</v>
      </c>
      <c r="L1784" s="2">
        <v>0</v>
      </c>
      <c r="M1784" s="1">
        <v>0</v>
      </c>
      <c r="N1784" s="1">
        <v>683</v>
      </c>
      <c r="O1784" s="1">
        <f>N1784*4968</f>
        <v>3393144</v>
      </c>
      <c r="P1784" s="1">
        <v>0</v>
      </c>
      <c r="Q1784" s="1">
        <f t="shared" si="921"/>
        <v>0</v>
      </c>
      <c r="R1784" s="1">
        <v>1677</v>
      </c>
      <c r="S1784" s="1">
        <f t="shared" si="917"/>
        <v>6290427</v>
      </c>
      <c r="T1784" s="1">
        <v>0</v>
      </c>
      <c r="U1784" s="1">
        <v>50000</v>
      </c>
      <c r="V1784" s="1">
        <v>0</v>
      </c>
      <c r="W1784" s="1">
        <v>50000</v>
      </c>
      <c r="X1784" s="1">
        <v>0</v>
      </c>
      <c r="Y1784" s="1">
        <v>0</v>
      </c>
      <c r="Z1784" s="1">
        <v>0</v>
      </c>
      <c r="AA1784" s="1">
        <v>0</v>
      </c>
      <c r="AB1784" s="1">
        <v>0</v>
      </c>
      <c r="AC1784" s="1">
        <v>0</v>
      </c>
      <c r="AD1784" s="1">
        <v>0</v>
      </c>
    </row>
    <row r="1785" spans="1:30" s="20" customFormat="1" ht="36" customHeight="1" x14ac:dyDescent="0.25">
      <c r="A1785" s="2">
        <f t="shared" si="893"/>
        <v>1729</v>
      </c>
      <c r="B1785" s="6">
        <f t="shared" si="918"/>
        <v>1729</v>
      </c>
      <c r="C1785" s="19" t="s">
        <v>1070</v>
      </c>
      <c r="D1785" s="4">
        <f t="shared" si="920"/>
        <v>28424318</v>
      </c>
      <c r="E1785" s="1">
        <f t="shared" si="900"/>
        <v>14998523.999999998</v>
      </c>
      <c r="F1785" s="1">
        <f>804*3821.28</f>
        <v>3072309.12</v>
      </c>
      <c r="G1785" s="1">
        <f>1693*3821.28</f>
        <v>6469427.04</v>
      </c>
      <c r="H1785" s="1">
        <f>390*3821.28</f>
        <v>1490299.2000000002</v>
      </c>
      <c r="I1785" s="1">
        <f>571*3821.28</f>
        <v>2181950.88</v>
      </c>
      <c r="J1785" s="1">
        <f>467*3821.28</f>
        <v>1784537.76</v>
      </c>
      <c r="K1785" s="1">
        <v>0</v>
      </c>
      <c r="L1785" s="2">
        <v>0</v>
      </c>
      <c r="M1785" s="1">
        <v>0</v>
      </c>
      <c r="N1785" s="1">
        <v>908</v>
      </c>
      <c r="O1785" s="1">
        <f>N1785*4968</f>
        <v>4510944</v>
      </c>
      <c r="P1785" s="1">
        <v>0</v>
      </c>
      <c r="Q1785" s="1">
        <f t="shared" si="921"/>
        <v>0</v>
      </c>
      <c r="R1785" s="1">
        <v>2350</v>
      </c>
      <c r="S1785" s="1">
        <f t="shared" si="917"/>
        <v>8814850</v>
      </c>
      <c r="T1785" s="1">
        <v>0</v>
      </c>
      <c r="U1785" s="1">
        <v>50000</v>
      </c>
      <c r="V1785" s="1">
        <v>0</v>
      </c>
      <c r="W1785" s="1">
        <v>50000</v>
      </c>
      <c r="X1785" s="1">
        <v>0</v>
      </c>
      <c r="Y1785" s="1">
        <v>0</v>
      </c>
      <c r="Z1785" s="1">
        <v>0</v>
      </c>
      <c r="AA1785" s="1">
        <v>0</v>
      </c>
      <c r="AB1785" s="1">
        <v>0</v>
      </c>
      <c r="AC1785" s="1">
        <v>0</v>
      </c>
      <c r="AD1785" s="1">
        <v>0</v>
      </c>
    </row>
    <row r="1786" spans="1:30" s="20" customFormat="1" ht="36" customHeight="1" x14ac:dyDescent="0.25">
      <c r="A1786" s="2">
        <f t="shared" si="893"/>
        <v>1730</v>
      </c>
      <c r="B1786" s="6">
        <f t="shared" si="918"/>
        <v>1730</v>
      </c>
      <c r="C1786" s="19" t="s">
        <v>1886</v>
      </c>
      <c r="D1786" s="4">
        <f t="shared" si="920"/>
        <v>3700000</v>
      </c>
      <c r="E1786" s="1">
        <f t="shared" si="900"/>
        <v>0</v>
      </c>
      <c r="F1786" s="1">
        <v>0</v>
      </c>
      <c r="G1786" s="1">
        <v>0</v>
      </c>
      <c r="H1786" s="1">
        <v>0</v>
      </c>
      <c r="I1786" s="1">
        <v>0</v>
      </c>
      <c r="J1786" s="1">
        <v>0</v>
      </c>
      <c r="K1786" s="1">
        <v>0</v>
      </c>
      <c r="L1786" s="2">
        <v>1</v>
      </c>
      <c r="M1786" s="1">
        <f>L1786*3500000</f>
        <v>3500000</v>
      </c>
      <c r="N1786" s="1">
        <v>0</v>
      </c>
      <c r="O1786" s="1">
        <v>0</v>
      </c>
      <c r="P1786" s="1">
        <v>0</v>
      </c>
      <c r="Q1786" s="1">
        <f t="shared" ref="Q1786" si="922">P1786*1400</f>
        <v>0</v>
      </c>
      <c r="R1786" s="1">
        <v>0</v>
      </c>
      <c r="S1786" s="1">
        <f t="shared" ref="S1786" si="923">R1786*3751</f>
        <v>0</v>
      </c>
      <c r="T1786" s="1">
        <v>0</v>
      </c>
      <c r="U1786" s="1">
        <v>200000</v>
      </c>
      <c r="V1786" s="1">
        <v>0</v>
      </c>
      <c r="W1786" s="1">
        <v>0</v>
      </c>
      <c r="X1786" s="1">
        <v>0</v>
      </c>
      <c r="Y1786" s="1">
        <v>0</v>
      </c>
      <c r="Z1786" s="1">
        <v>0</v>
      </c>
      <c r="AA1786" s="1">
        <v>0</v>
      </c>
      <c r="AB1786" s="1">
        <v>0</v>
      </c>
      <c r="AC1786" s="1">
        <v>0</v>
      </c>
      <c r="AD1786" s="1">
        <v>0</v>
      </c>
    </row>
    <row r="1787" spans="1:30" s="20" customFormat="1" ht="36" customHeight="1" x14ac:dyDescent="0.25">
      <c r="A1787" s="2">
        <f t="shared" ref="A1787:A1789" si="924">ROW()-ROW($A$11)-45</f>
        <v>1731</v>
      </c>
      <c r="B1787" s="6">
        <f t="shared" ref="B1787" si="925">A1787</f>
        <v>1731</v>
      </c>
      <c r="C1787" s="19" t="s">
        <v>1887</v>
      </c>
      <c r="D1787" s="4">
        <f t="shared" si="920"/>
        <v>3700000</v>
      </c>
      <c r="E1787" s="1">
        <f t="shared" ref="E1787" si="926">SUM(F1787:K1787)</f>
        <v>0</v>
      </c>
      <c r="F1787" s="1">
        <v>0</v>
      </c>
      <c r="G1787" s="1">
        <v>0</v>
      </c>
      <c r="H1787" s="1">
        <v>0</v>
      </c>
      <c r="I1787" s="1">
        <v>0</v>
      </c>
      <c r="J1787" s="1">
        <v>0</v>
      </c>
      <c r="K1787" s="1">
        <v>0</v>
      </c>
      <c r="L1787" s="2">
        <v>1</v>
      </c>
      <c r="M1787" s="1">
        <f>L1787*3500000</f>
        <v>3500000</v>
      </c>
      <c r="N1787" s="1">
        <v>0</v>
      </c>
      <c r="O1787" s="1">
        <v>0</v>
      </c>
      <c r="P1787" s="1">
        <v>0</v>
      </c>
      <c r="Q1787" s="1">
        <f t="shared" ref="Q1787" si="927">P1787*1400</f>
        <v>0</v>
      </c>
      <c r="R1787" s="1">
        <v>0</v>
      </c>
      <c r="S1787" s="1">
        <f t="shared" ref="S1787" si="928">R1787*3751</f>
        <v>0</v>
      </c>
      <c r="T1787" s="1">
        <v>0</v>
      </c>
      <c r="U1787" s="1">
        <v>200000</v>
      </c>
      <c r="V1787" s="1">
        <v>0</v>
      </c>
      <c r="W1787" s="1">
        <v>0</v>
      </c>
      <c r="X1787" s="1">
        <v>0</v>
      </c>
      <c r="Y1787" s="1">
        <v>0</v>
      </c>
      <c r="Z1787" s="1">
        <v>0</v>
      </c>
      <c r="AA1787" s="1">
        <v>0</v>
      </c>
      <c r="AB1787" s="1">
        <v>0</v>
      </c>
      <c r="AC1787" s="1">
        <v>0</v>
      </c>
      <c r="AD1787" s="1">
        <v>0</v>
      </c>
    </row>
    <row r="1788" spans="1:30" s="20" customFormat="1" ht="36" customHeight="1" x14ac:dyDescent="0.25">
      <c r="A1788" s="2">
        <f t="shared" si="924"/>
        <v>1732</v>
      </c>
      <c r="B1788" s="6">
        <f t="shared" si="918"/>
        <v>1732</v>
      </c>
      <c r="C1788" s="19" t="s">
        <v>1072</v>
      </c>
      <c r="D1788" s="4">
        <f t="shared" si="920"/>
        <v>17689146.250000004</v>
      </c>
      <c r="E1788" s="1">
        <f t="shared" si="900"/>
        <v>17639146.250000004</v>
      </c>
      <c r="F1788" s="1">
        <f>804*4494.05</f>
        <v>3613216.2</v>
      </c>
      <c r="G1788" s="1">
        <f>1693*4494.05</f>
        <v>7608426.6500000004</v>
      </c>
      <c r="H1788" s="1">
        <f>390*4494.05</f>
        <v>1752679.5</v>
      </c>
      <c r="I1788" s="1">
        <f>571*4494.05</f>
        <v>2566102.5500000003</v>
      </c>
      <c r="J1788" s="1">
        <f>467*4494.05</f>
        <v>2098721.35</v>
      </c>
      <c r="K1788" s="1">
        <v>0</v>
      </c>
      <c r="L1788" s="2">
        <v>0</v>
      </c>
      <c r="M1788" s="1">
        <v>0</v>
      </c>
      <c r="N1788" s="1">
        <v>0</v>
      </c>
      <c r="O1788" s="1">
        <v>0</v>
      </c>
      <c r="P1788" s="1">
        <v>0</v>
      </c>
      <c r="Q1788" s="1">
        <f>P1788*1400</f>
        <v>0</v>
      </c>
      <c r="R1788" s="1">
        <v>0</v>
      </c>
      <c r="S1788" s="1">
        <f t="shared" si="917"/>
        <v>0</v>
      </c>
      <c r="T1788" s="1">
        <v>0</v>
      </c>
      <c r="U1788" s="1">
        <v>50000</v>
      </c>
      <c r="V1788" s="1">
        <v>0</v>
      </c>
      <c r="W1788" s="1">
        <v>0</v>
      </c>
      <c r="X1788" s="1">
        <v>0</v>
      </c>
      <c r="Y1788" s="1">
        <v>0</v>
      </c>
      <c r="Z1788" s="1">
        <v>0</v>
      </c>
      <c r="AA1788" s="1">
        <v>0</v>
      </c>
      <c r="AB1788" s="1">
        <v>0</v>
      </c>
      <c r="AC1788" s="1">
        <v>0</v>
      </c>
      <c r="AD1788" s="1">
        <v>0</v>
      </c>
    </row>
    <row r="1789" spans="1:30" s="20" customFormat="1" ht="36" customHeight="1" x14ac:dyDescent="0.25">
      <c r="A1789" s="2">
        <f t="shared" si="924"/>
        <v>1733</v>
      </c>
      <c r="B1789" s="6">
        <f t="shared" si="918"/>
        <v>1733</v>
      </c>
      <c r="C1789" s="19" t="s">
        <v>1075</v>
      </c>
      <c r="D1789" s="4">
        <f t="shared" si="920"/>
        <v>16883238.5</v>
      </c>
      <c r="E1789" s="1">
        <f t="shared" si="900"/>
        <v>11206738.5</v>
      </c>
      <c r="F1789" s="1">
        <f>804*2855.22</f>
        <v>2295596.88</v>
      </c>
      <c r="G1789" s="1">
        <f>1693*2855.22</f>
        <v>4833887.46</v>
      </c>
      <c r="H1789" s="1">
        <f>390*2855.22</f>
        <v>1113535.7999999998</v>
      </c>
      <c r="I1789" s="1">
        <f>571*2855.22</f>
        <v>1630330.6199999999</v>
      </c>
      <c r="J1789" s="1">
        <f>467*2855.22</f>
        <v>1333387.74</v>
      </c>
      <c r="K1789" s="1">
        <v>0</v>
      </c>
      <c r="L1789" s="2">
        <v>0</v>
      </c>
      <c r="M1789" s="1">
        <v>0</v>
      </c>
      <c r="N1789" s="1">
        <v>0</v>
      </c>
      <c r="O1789" s="1">
        <v>0</v>
      </c>
      <c r="P1789" s="1">
        <v>0</v>
      </c>
      <c r="Q1789" s="1">
        <f>P1789*1400</f>
        <v>0</v>
      </c>
      <c r="R1789" s="1">
        <v>1500</v>
      </c>
      <c r="S1789" s="1">
        <f t="shared" si="917"/>
        <v>5626500</v>
      </c>
      <c r="T1789" s="1">
        <v>0</v>
      </c>
      <c r="U1789" s="1">
        <v>50000</v>
      </c>
      <c r="V1789" s="1">
        <v>0</v>
      </c>
      <c r="W1789" s="1">
        <v>0</v>
      </c>
      <c r="X1789" s="1">
        <v>0</v>
      </c>
      <c r="Y1789" s="1">
        <v>0</v>
      </c>
      <c r="Z1789" s="1">
        <v>0</v>
      </c>
      <c r="AA1789" s="1">
        <v>0</v>
      </c>
      <c r="AB1789" s="1">
        <v>0</v>
      </c>
      <c r="AC1789" s="1">
        <v>0</v>
      </c>
      <c r="AD1789" s="1">
        <v>0</v>
      </c>
    </row>
    <row r="1790" spans="1:30" s="20" customFormat="1" ht="54.95" customHeight="1" x14ac:dyDescent="0.25">
      <c r="A1790" s="3"/>
      <c r="B1790" s="47" t="s">
        <v>1982</v>
      </c>
      <c r="C1790" s="48"/>
      <c r="D1790" s="4">
        <f>SUM(D1791:D1836)</f>
        <v>268130062.49999997</v>
      </c>
      <c r="E1790" s="4">
        <f t="shared" ref="E1790:AD1790" si="929">SUM(E1791:E1836)</f>
        <v>100590853.49999999</v>
      </c>
      <c r="F1790" s="4">
        <f t="shared" si="929"/>
        <v>24845690.399999999</v>
      </c>
      <c r="G1790" s="4">
        <f t="shared" si="929"/>
        <v>40864787.5</v>
      </c>
      <c r="H1790" s="4">
        <f t="shared" si="929"/>
        <v>12917784</v>
      </c>
      <c r="I1790" s="4">
        <f t="shared" si="929"/>
        <v>6577234.8000000007</v>
      </c>
      <c r="J1790" s="4">
        <f t="shared" si="929"/>
        <v>15385356.800000001</v>
      </c>
      <c r="K1790" s="4">
        <f t="shared" si="929"/>
        <v>0</v>
      </c>
      <c r="L1790" s="17">
        <f t="shared" si="929"/>
        <v>0</v>
      </c>
      <c r="M1790" s="4">
        <f t="shared" si="929"/>
        <v>0</v>
      </c>
      <c r="N1790" s="4">
        <f t="shared" si="929"/>
        <v>13451</v>
      </c>
      <c r="O1790" s="4">
        <f t="shared" si="929"/>
        <v>96177450</v>
      </c>
      <c r="P1790" s="4">
        <f t="shared" si="929"/>
        <v>150</v>
      </c>
      <c r="Q1790" s="4">
        <f t="shared" si="929"/>
        <v>210000</v>
      </c>
      <c r="R1790" s="4">
        <f t="shared" si="929"/>
        <v>18009</v>
      </c>
      <c r="S1790" s="4">
        <f t="shared" si="929"/>
        <v>67551759</v>
      </c>
      <c r="T1790" s="4">
        <f t="shared" si="929"/>
        <v>0</v>
      </c>
      <c r="U1790" s="4">
        <f t="shared" si="929"/>
        <v>2050000</v>
      </c>
      <c r="V1790" s="4">
        <f t="shared" si="929"/>
        <v>0</v>
      </c>
      <c r="W1790" s="4">
        <f t="shared" si="929"/>
        <v>1550000</v>
      </c>
      <c r="X1790" s="4">
        <f t="shared" si="929"/>
        <v>0</v>
      </c>
      <c r="Y1790" s="4">
        <f t="shared" si="929"/>
        <v>0</v>
      </c>
      <c r="Z1790" s="4">
        <f t="shared" si="929"/>
        <v>0</v>
      </c>
      <c r="AA1790" s="4">
        <f t="shared" si="929"/>
        <v>0</v>
      </c>
      <c r="AB1790" s="4">
        <f t="shared" si="929"/>
        <v>0</v>
      </c>
      <c r="AC1790" s="4">
        <f t="shared" si="929"/>
        <v>0</v>
      </c>
      <c r="AD1790" s="4">
        <f t="shared" si="929"/>
        <v>0</v>
      </c>
    </row>
    <row r="1791" spans="1:30" s="20" customFormat="1" ht="36" customHeight="1" x14ac:dyDescent="0.25">
      <c r="A1791" s="2">
        <f>ROW()-ROW($A$11)-46</f>
        <v>1734</v>
      </c>
      <c r="B1791" s="6">
        <f t="shared" ref="B1791:B1811" si="930">A1791</f>
        <v>1734</v>
      </c>
      <c r="C1791" s="19" t="s">
        <v>1076</v>
      </c>
      <c r="D1791" s="4">
        <f t="shared" ref="D1791:D1836" si="931">E1791+M1791+O1791+Q1791+S1791+T1791+U1791+V1791+W1791+X1791+Z1791+AA1791+AB1791+AC1791+AD1791</f>
        <v>6082993.7999999998</v>
      </c>
      <c r="E1791" s="1">
        <f>SUM(F1791:K1791)</f>
        <v>607593.80000000005</v>
      </c>
      <c r="F1791" s="1">
        <f>804*365.8</f>
        <v>294103.2</v>
      </c>
      <c r="G1791" s="1">
        <v>0</v>
      </c>
      <c r="H1791" s="1">
        <f>390*365.8</f>
        <v>142662</v>
      </c>
      <c r="I1791" s="1">
        <v>0</v>
      </c>
      <c r="J1791" s="1">
        <f>467*365.8</f>
        <v>170828.6</v>
      </c>
      <c r="K1791" s="1">
        <v>0</v>
      </c>
      <c r="L1791" s="2">
        <v>0</v>
      </c>
      <c r="M1791" s="1">
        <v>0</v>
      </c>
      <c r="N1791" s="1">
        <v>500</v>
      </c>
      <c r="O1791" s="1">
        <f>N1791*7750</f>
        <v>3875000</v>
      </c>
      <c r="P1791" s="1">
        <v>0</v>
      </c>
      <c r="Q1791" s="1">
        <f>P1791*1400</f>
        <v>0</v>
      </c>
      <c r="R1791" s="1">
        <v>400</v>
      </c>
      <c r="S1791" s="1">
        <f t="shared" ref="S1791:S1797" si="932">R1791*3751</f>
        <v>1500400</v>
      </c>
      <c r="T1791" s="1">
        <v>0</v>
      </c>
      <c r="U1791" s="1">
        <v>50000</v>
      </c>
      <c r="V1791" s="1">
        <v>0</v>
      </c>
      <c r="W1791" s="1">
        <v>50000</v>
      </c>
      <c r="X1791" s="1">
        <v>0</v>
      </c>
      <c r="Y1791" s="1">
        <v>0</v>
      </c>
      <c r="Z1791" s="1">
        <v>0</v>
      </c>
      <c r="AA1791" s="1">
        <v>0</v>
      </c>
      <c r="AB1791" s="1">
        <v>0</v>
      </c>
      <c r="AC1791" s="1">
        <v>0</v>
      </c>
      <c r="AD1791" s="1">
        <v>0</v>
      </c>
    </row>
    <row r="1792" spans="1:30" s="20" customFormat="1" ht="36" customHeight="1" x14ac:dyDescent="0.25">
      <c r="A1792" s="2">
        <f t="shared" ref="A1792:A1836" si="933">ROW()-ROW($A$11)-46</f>
        <v>1735</v>
      </c>
      <c r="B1792" s="6">
        <f t="shared" si="930"/>
        <v>1735</v>
      </c>
      <c r="C1792" s="19" t="s">
        <v>1077</v>
      </c>
      <c r="D1792" s="4">
        <f t="shared" si="931"/>
        <v>6122027.2999999998</v>
      </c>
      <c r="E1792" s="1">
        <f>SUM(F1792:K1792)</f>
        <v>646627.30000000005</v>
      </c>
      <c r="F1792" s="1">
        <f>804*389.3</f>
        <v>312997.2</v>
      </c>
      <c r="G1792" s="1">
        <v>0</v>
      </c>
      <c r="H1792" s="1">
        <f>390*389.3</f>
        <v>151827</v>
      </c>
      <c r="I1792" s="1">
        <v>0</v>
      </c>
      <c r="J1792" s="1">
        <f>467*389.3</f>
        <v>181803.1</v>
      </c>
      <c r="K1792" s="1">
        <v>0</v>
      </c>
      <c r="L1792" s="2">
        <v>0</v>
      </c>
      <c r="M1792" s="1">
        <v>0</v>
      </c>
      <c r="N1792" s="1">
        <v>500</v>
      </c>
      <c r="O1792" s="1">
        <f>N1792*7750</f>
        <v>3875000</v>
      </c>
      <c r="P1792" s="1">
        <v>0</v>
      </c>
      <c r="Q1792" s="1">
        <f>P1792*1400</f>
        <v>0</v>
      </c>
      <c r="R1792" s="1">
        <v>400</v>
      </c>
      <c r="S1792" s="1">
        <f t="shared" si="932"/>
        <v>1500400</v>
      </c>
      <c r="T1792" s="1">
        <v>0</v>
      </c>
      <c r="U1792" s="1">
        <v>50000</v>
      </c>
      <c r="V1792" s="1">
        <v>0</v>
      </c>
      <c r="W1792" s="1">
        <v>50000</v>
      </c>
      <c r="X1792" s="1">
        <v>0</v>
      </c>
      <c r="Y1792" s="1">
        <v>0</v>
      </c>
      <c r="Z1792" s="1">
        <v>0</v>
      </c>
      <c r="AA1792" s="1">
        <v>0</v>
      </c>
      <c r="AB1792" s="1">
        <v>0</v>
      </c>
      <c r="AC1792" s="1">
        <v>0</v>
      </c>
      <c r="AD1792" s="1">
        <v>0</v>
      </c>
    </row>
    <row r="1793" spans="1:30" s="20" customFormat="1" ht="36" customHeight="1" x14ac:dyDescent="0.25">
      <c r="A1793" s="2">
        <f t="shared" si="933"/>
        <v>1736</v>
      </c>
      <c r="B1793" s="6">
        <f t="shared" si="930"/>
        <v>1736</v>
      </c>
      <c r="C1793" s="19" t="s">
        <v>1078</v>
      </c>
      <c r="D1793" s="4">
        <f t="shared" si="931"/>
        <v>2575894.2999999998</v>
      </c>
      <c r="E1793" s="1">
        <f t="shared" ref="E1793:E1836" si="934">SUM(F1793:K1793)</f>
        <v>525374.30000000005</v>
      </c>
      <c r="F1793" s="1">
        <f>804*316.3</f>
        <v>254305.2</v>
      </c>
      <c r="G1793" s="1">
        <v>0</v>
      </c>
      <c r="H1793" s="1">
        <f>390*316.3</f>
        <v>123357</v>
      </c>
      <c r="I1793" s="1">
        <v>0</v>
      </c>
      <c r="J1793" s="1">
        <f>467*316.3</f>
        <v>147712.1</v>
      </c>
      <c r="K1793" s="1">
        <v>0</v>
      </c>
      <c r="L1793" s="2">
        <v>0</v>
      </c>
      <c r="M1793" s="1">
        <v>0</v>
      </c>
      <c r="N1793" s="1">
        <v>0</v>
      </c>
      <c r="O1793" s="1">
        <v>0</v>
      </c>
      <c r="P1793" s="1">
        <v>0</v>
      </c>
      <c r="Q1793" s="1">
        <f>P1793*1400</f>
        <v>0</v>
      </c>
      <c r="R1793" s="1">
        <v>520</v>
      </c>
      <c r="S1793" s="1">
        <f t="shared" si="932"/>
        <v>1950520</v>
      </c>
      <c r="T1793" s="1">
        <v>0</v>
      </c>
      <c r="U1793" s="1">
        <v>50000</v>
      </c>
      <c r="V1793" s="1">
        <v>0</v>
      </c>
      <c r="W1793" s="1">
        <v>50000</v>
      </c>
      <c r="X1793" s="1">
        <v>0</v>
      </c>
      <c r="Y1793" s="1">
        <v>0</v>
      </c>
      <c r="Z1793" s="1">
        <v>0</v>
      </c>
      <c r="AA1793" s="1">
        <v>0</v>
      </c>
      <c r="AB1793" s="1">
        <v>0</v>
      </c>
      <c r="AC1793" s="1">
        <v>0</v>
      </c>
      <c r="AD1793" s="1">
        <v>0</v>
      </c>
    </row>
    <row r="1794" spans="1:30" s="20" customFormat="1" ht="36" customHeight="1" x14ac:dyDescent="0.25">
      <c r="A1794" s="2">
        <f t="shared" si="933"/>
        <v>1737</v>
      </c>
      <c r="B1794" s="6">
        <f t="shared" si="930"/>
        <v>1737</v>
      </c>
      <c r="C1794" s="19" t="s">
        <v>1079</v>
      </c>
      <c r="D1794" s="4">
        <f t="shared" si="931"/>
        <v>2579216.2999999998</v>
      </c>
      <c r="E1794" s="1">
        <f t="shared" si="934"/>
        <v>528696.30000000005</v>
      </c>
      <c r="F1794" s="1">
        <f>804*318.3</f>
        <v>255913.2</v>
      </c>
      <c r="G1794" s="1">
        <v>0</v>
      </c>
      <c r="H1794" s="1">
        <f>390*318.3</f>
        <v>124137</v>
      </c>
      <c r="I1794" s="1">
        <v>0</v>
      </c>
      <c r="J1794" s="1">
        <f>467*318.3</f>
        <v>148646.1</v>
      </c>
      <c r="K1794" s="1">
        <v>0</v>
      </c>
      <c r="L1794" s="2">
        <v>0</v>
      </c>
      <c r="M1794" s="1">
        <v>0</v>
      </c>
      <c r="N1794" s="1">
        <v>0</v>
      </c>
      <c r="O1794" s="1">
        <v>0</v>
      </c>
      <c r="P1794" s="1">
        <v>0</v>
      </c>
      <c r="Q1794" s="1">
        <f>P1794*1400</f>
        <v>0</v>
      </c>
      <c r="R1794" s="1">
        <v>520</v>
      </c>
      <c r="S1794" s="1">
        <f t="shared" si="932"/>
        <v>1950520</v>
      </c>
      <c r="T1794" s="1">
        <v>0</v>
      </c>
      <c r="U1794" s="1">
        <v>50000</v>
      </c>
      <c r="V1794" s="1">
        <v>0</v>
      </c>
      <c r="W1794" s="1">
        <v>50000</v>
      </c>
      <c r="X1794" s="1">
        <v>0</v>
      </c>
      <c r="Y1794" s="1">
        <v>0</v>
      </c>
      <c r="Z1794" s="1">
        <v>0</v>
      </c>
      <c r="AA1794" s="1">
        <v>0</v>
      </c>
      <c r="AB1794" s="1">
        <v>0</v>
      </c>
      <c r="AC1794" s="1">
        <v>0</v>
      </c>
      <c r="AD1794" s="1">
        <v>0</v>
      </c>
    </row>
    <row r="1795" spans="1:30" s="20" customFormat="1" ht="36" customHeight="1" x14ac:dyDescent="0.25">
      <c r="A1795" s="2">
        <f t="shared" si="933"/>
        <v>1738</v>
      </c>
      <c r="B1795" s="6">
        <f t="shared" si="930"/>
        <v>1738</v>
      </c>
      <c r="C1795" s="19" t="s">
        <v>1080</v>
      </c>
      <c r="D1795" s="4">
        <f t="shared" si="931"/>
        <v>2616921</v>
      </c>
      <c r="E1795" s="1">
        <f t="shared" si="934"/>
        <v>566401</v>
      </c>
      <c r="F1795" s="1">
        <f>804*341</f>
        <v>274164</v>
      </c>
      <c r="G1795" s="1">
        <v>0</v>
      </c>
      <c r="H1795" s="1">
        <f>390*341</f>
        <v>132990</v>
      </c>
      <c r="I1795" s="1">
        <v>0</v>
      </c>
      <c r="J1795" s="1">
        <f>467*341</f>
        <v>159247</v>
      </c>
      <c r="K1795" s="1">
        <v>0</v>
      </c>
      <c r="L1795" s="2">
        <v>0</v>
      </c>
      <c r="M1795" s="1">
        <v>0</v>
      </c>
      <c r="N1795" s="1">
        <v>0</v>
      </c>
      <c r="O1795" s="1">
        <v>0</v>
      </c>
      <c r="P1795" s="1">
        <v>0</v>
      </c>
      <c r="Q1795" s="1">
        <f>P1795*1400</f>
        <v>0</v>
      </c>
      <c r="R1795" s="1">
        <v>520</v>
      </c>
      <c r="S1795" s="1">
        <f t="shared" si="932"/>
        <v>1950520</v>
      </c>
      <c r="T1795" s="1">
        <v>0</v>
      </c>
      <c r="U1795" s="1">
        <v>50000</v>
      </c>
      <c r="V1795" s="1">
        <v>0</v>
      </c>
      <c r="W1795" s="1">
        <v>50000</v>
      </c>
      <c r="X1795" s="1">
        <v>0</v>
      </c>
      <c r="Y1795" s="1">
        <v>0</v>
      </c>
      <c r="Z1795" s="1">
        <v>0</v>
      </c>
      <c r="AA1795" s="1">
        <v>0</v>
      </c>
      <c r="AB1795" s="1">
        <v>0</v>
      </c>
      <c r="AC1795" s="1">
        <v>0</v>
      </c>
      <c r="AD1795" s="1">
        <v>0</v>
      </c>
    </row>
    <row r="1796" spans="1:30" s="20" customFormat="1" ht="36" customHeight="1" x14ac:dyDescent="0.25">
      <c r="A1796" s="2">
        <f t="shared" si="933"/>
        <v>1739</v>
      </c>
      <c r="B1796" s="6">
        <f t="shared" si="930"/>
        <v>1739</v>
      </c>
      <c r="C1796" s="19" t="s">
        <v>1081</v>
      </c>
      <c r="D1796" s="4">
        <f t="shared" si="931"/>
        <v>5825520</v>
      </c>
      <c r="E1796" s="1">
        <f t="shared" si="934"/>
        <v>0</v>
      </c>
      <c r="F1796" s="1">
        <v>0</v>
      </c>
      <c r="G1796" s="1">
        <v>0</v>
      </c>
      <c r="H1796" s="1">
        <v>0</v>
      </c>
      <c r="I1796" s="1">
        <v>0</v>
      </c>
      <c r="J1796" s="1">
        <v>0</v>
      </c>
      <c r="K1796" s="1">
        <v>0</v>
      </c>
      <c r="L1796" s="2">
        <v>0</v>
      </c>
      <c r="M1796" s="1">
        <v>0</v>
      </c>
      <c r="N1796" s="1">
        <v>500</v>
      </c>
      <c r="O1796" s="1">
        <f>N1796*7750</f>
        <v>3875000</v>
      </c>
      <c r="P1796" s="1">
        <v>0</v>
      </c>
      <c r="Q1796" s="1">
        <f t="shared" ref="Q1796:Q1836" si="935">P1796*1400</f>
        <v>0</v>
      </c>
      <c r="R1796" s="1">
        <v>520</v>
      </c>
      <c r="S1796" s="1">
        <f t="shared" si="932"/>
        <v>1950520</v>
      </c>
      <c r="T1796" s="1">
        <v>0</v>
      </c>
      <c r="U1796" s="1">
        <v>0</v>
      </c>
      <c r="V1796" s="1">
        <v>0</v>
      </c>
      <c r="W1796" s="1">
        <v>0</v>
      </c>
      <c r="X1796" s="1">
        <v>0</v>
      </c>
      <c r="Y1796" s="1">
        <v>0</v>
      </c>
      <c r="Z1796" s="1">
        <v>0</v>
      </c>
      <c r="AA1796" s="1">
        <v>0</v>
      </c>
      <c r="AB1796" s="1">
        <v>0</v>
      </c>
      <c r="AC1796" s="1">
        <v>0</v>
      </c>
      <c r="AD1796" s="1">
        <v>0</v>
      </c>
    </row>
    <row r="1797" spans="1:30" s="20" customFormat="1" ht="36" customHeight="1" x14ac:dyDescent="0.25">
      <c r="A1797" s="2">
        <f t="shared" si="933"/>
        <v>1740</v>
      </c>
      <c r="B1797" s="6">
        <f t="shared" si="930"/>
        <v>1740</v>
      </c>
      <c r="C1797" s="19" t="s">
        <v>1082</v>
      </c>
      <c r="D1797" s="4">
        <f t="shared" si="931"/>
        <v>2630209</v>
      </c>
      <c r="E1797" s="1">
        <f t="shared" si="934"/>
        <v>579689</v>
      </c>
      <c r="F1797" s="1">
        <f>804*349</f>
        <v>280596</v>
      </c>
      <c r="G1797" s="1">
        <v>0</v>
      </c>
      <c r="H1797" s="1">
        <f>390*349</f>
        <v>136110</v>
      </c>
      <c r="I1797" s="1">
        <v>0</v>
      </c>
      <c r="J1797" s="1">
        <f>467*349</f>
        <v>162983</v>
      </c>
      <c r="K1797" s="1">
        <v>0</v>
      </c>
      <c r="L1797" s="2">
        <v>0</v>
      </c>
      <c r="M1797" s="1">
        <v>0</v>
      </c>
      <c r="N1797" s="1">
        <v>0</v>
      </c>
      <c r="O1797" s="1">
        <v>0</v>
      </c>
      <c r="P1797" s="1">
        <v>0</v>
      </c>
      <c r="Q1797" s="1">
        <f t="shared" si="935"/>
        <v>0</v>
      </c>
      <c r="R1797" s="1">
        <v>520</v>
      </c>
      <c r="S1797" s="1">
        <f t="shared" si="932"/>
        <v>1950520</v>
      </c>
      <c r="T1797" s="1">
        <v>0</v>
      </c>
      <c r="U1797" s="1">
        <v>50000</v>
      </c>
      <c r="V1797" s="1">
        <v>0</v>
      </c>
      <c r="W1797" s="1">
        <v>50000</v>
      </c>
      <c r="X1797" s="1">
        <v>0</v>
      </c>
      <c r="Y1797" s="1">
        <v>0</v>
      </c>
      <c r="Z1797" s="1">
        <v>0</v>
      </c>
      <c r="AA1797" s="1">
        <v>0</v>
      </c>
      <c r="AB1797" s="1">
        <v>0</v>
      </c>
      <c r="AC1797" s="1">
        <v>0</v>
      </c>
      <c r="AD1797" s="1">
        <v>0</v>
      </c>
    </row>
    <row r="1798" spans="1:30" s="20" customFormat="1" ht="36" customHeight="1" x14ac:dyDescent="0.25">
      <c r="A1798" s="2">
        <f t="shared" si="933"/>
        <v>1741</v>
      </c>
      <c r="B1798" s="6">
        <f t="shared" si="930"/>
        <v>1741</v>
      </c>
      <c r="C1798" s="19" t="s">
        <v>1658</v>
      </c>
      <c r="D1798" s="4">
        <f t="shared" si="931"/>
        <v>1307079.2000000002</v>
      </c>
      <c r="E1798" s="1">
        <f t="shared" si="934"/>
        <v>1257079.2000000002</v>
      </c>
      <c r="F1798" s="1">
        <f>804*374.8</f>
        <v>301339.2</v>
      </c>
      <c r="G1798" s="1">
        <f>1693*374.8</f>
        <v>634536.4</v>
      </c>
      <c r="H1798" s="1">
        <f>390*374.8</f>
        <v>146172</v>
      </c>
      <c r="I1798" s="1">
        <v>0</v>
      </c>
      <c r="J1798" s="1">
        <f>467*374.8</f>
        <v>175031.6</v>
      </c>
      <c r="K1798" s="1">
        <v>0</v>
      </c>
      <c r="L1798" s="2">
        <v>0</v>
      </c>
      <c r="M1798" s="1">
        <v>0</v>
      </c>
      <c r="N1798" s="1">
        <v>0</v>
      </c>
      <c r="O1798" s="1">
        <v>0</v>
      </c>
      <c r="P1798" s="1">
        <v>0</v>
      </c>
      <c r="Q1798" s="1">
        <f t="shared" si="935"/>
        <v>0</v>
      </c>
      <c r="R1798" s="1">
        <v>0</v>
      </c>
      <c r="S1798" s="1">
        <f t="shared" ref="S1798:S1809" si="936">R1798*3751</f>
        <v>0</v>
      </c>
      <c r="T1798" s="1">
        <v>0</v>
      </c>
      <c r="U1798" s="1">
        <v>50000</v>
      </c>
      <c r="V1798" s="1">
        <v>0</v>
      </c>
      <c r="W1798" s="1">
        <v>0</v>
      </c>
      <c r="X1798" s="1">
        <v>0</v>
      </c>
      <c r="Y1798" s="1">
        <v>0</v>
      </c>
      <c r="Z1798" s="1">
        <v>0</v>
      </c>
      <c r="AA1798" s="1">
        <v>0</v>
      </c>
      <c r="AB1798" s="1">
        <v>0</v>
      </c>
      <c r="AC1798" s="1">
        <v>0</v>
      </c>
      <c r="AD1798" s="1">
        <v>0</v>
      </c>
    </row>
    <row r="1799" spans="1:30" s="20" customFormat="1" ht="36" customHeight="1" x14ac:dyDescent="0.25">
      <c r="A1799" s="2">
        <f t="shared" si="933"/>
        <v>1742</v>
      </c>
      <c r="B1799" s="6">
        <f t="shared" si="930"/>
        <v>1742</v>
      </c>
      <c r="C1799" s="19" t="s">
        <v>1659</v>
      </c>
      <c r="D1799" s="4">
        <f t="shared" si="931"/>
        <v>1314793.4000000001</v>
      </c>
      <c r="E1799" s="1">
        <f t="shared" si="934"/>
        <v>1264793.4000000001</v>
      </c>
      <c r="F1799" s="1">
        <f>804*377.1</f>
        <v>303188.40000000002</v>
      </c>
      <c r="G1799" s="1">
        <f>1693*377.1</f>
        <v>638430.30000000005</v>
      </c>
      <c r="H1799" s="1">
        <f>390*377.1</f>
        <v>147069</v>
      </c>
      <c r="I1799" s="1">
        <v>0</v>
      </c>
      <c r="J1799" s="1">
        <f>467*377.1</f>
        <v>176105.7</v>
      </c>
      <c r="K1799" s="1">
        <v>0</v>
      </c>
      <c r="L1799" s="2">
        <v>0</v>
      </c>
      <c r="M1799" s="1">
        <v>0</v>
      </c>
      <c r="N1799" s="1">
        <v>0</v>
      </c>
      <c r="O1799" s="1">
        <v>0</v>
      </c>
      <c r="P1799" s="1">
        <v>0</v>
      </c>
      <c r="Q1799" s="1">
        <f t="shared" si="935"/>
        <v>0</v>
      </c>
      <c r="R1799" s="1">
        <v>0</v>
      </c>
      <c r="S1799" s="1">
        <f t="shared" si="936"/>
        <v>0</v>
      </c>
      <c r="T1799" s="1">
        <v>0</v>
      </c>
      <c r="U1799" s="1">
        <v>50000</v>
      </c>
      <c r="V1799" s="1">
        <v>0</v>
      </c>
      <c r="W1799" s="1">
        <v>0</v>
      </c>
      <c r="X1799" s="1">
        <v>0</v>
      </c>
      <c r="Y1799" s="1">
        <v>0</v>
      </c>
      <c r="Z1799" s="1">
        <v>0</v>
      </c>
      <c r="AA1799" s="1">
        <v>0</v>
      </c>
      <c r="AB1799" s="1">
        <v>0</v>
      </c>
      <c r="AC1799" s="1">
        <v>0</v>
      </c>
      <c r="AD1799" s="1">
        <v>0</v>
      </c>
    </row>
    <row r="1800" spans="1:30" s="20" customFormat="1" ht="36" customHeight="1" x14ac:dyDescent="0.25">
      <c r="A1800" s="2">
        <f t="shared" si="933"/>
        <v>1743</v>
      </c>
      <c r="B1800" s="6">
        <f t="shared" si="930"/>
        <v>1743</v>
      </c>
      <c r="C1800" s="19" t="s">
        <v>1660</v>
      </c>
      <c r="D1800" s="4">
        <f t="shared" si="931"/>
        <v>1674342.2000000002</v>
      </c>
      <c r="E1800" s="1">
        <f t="shared" si="934"/>
        <v>1624342.2000000002</v>
      </c>
      <c r="F1800" s="1">
        <f>804*484.3</f>
        <v>389377.2</v>
      </c>
      <c r="G1800" s="1">
        <f>1693*484.3</f>
        <v>819919.9</v>
      </c>
      <c r="H1800" s="1">
        <f>390*484.3</f>
        <v>188877</v>
      </c>
      <c r="I1800" s="1">
        <v>0</v>
      </c>
      <c r="J1800" s="1">
        <f>467*484.3</f>
        <v>226168.1</v>
      </c>
      <c r="K1800" s="1">
        <v>0</v>
      </c>
      <c r="L1800" s="2">
        <v>0</v>
      </c>
      <c r="M1800" s="1">
        <v>0</v>
      </c>
      <c r="N1800" s="1">
        <v>0</v>
      </c>
      <c r="O1800" s="1">
        <v>0</v>
      </c>
      <c r="P1800" s="1">
        <v>0</v>
      </c>
      <c r="Q1800" s="1">
        <f t="shared" si="935"/>
        <v>0</v>
      </c>
      <c r="R1800" s="1">
        <v>0</v>
      </c>
      <c r="S1800" s="1">
        <f t="shared" si="936"/>
        <v>0</v>
      </c>
      <c r="T1800" s="1">
        <v>0</v>
      </c>
      <c r="U1800" s="1">
        <v>50000</v>
      </c>
      <c r="V1800" s="1">
        <v>0</v>
      </c>
      <c r="W1800" s="1">
        <v>0</v>
      </c>
      <c r="X1800" s="1">
        <v>0</v>
      </c>
      <c r="Y1800" s="1">
        <v>0</v>
      </c>
      <c r="Z1800" s="1">
        <v>0</v>
      </c>
      <c r="AA1800" s="1">
        <v>0</v>
      </c>
      <c r="AB1800" s="1">
        <v>0</v>
      </c>
      <c r="AC1800" s="1">
        <v>0</v>
      </c>
      <c r="AD1800" s="1">
        <v>0</v>
      </c>
    </row>
    <row r="1801" spans="1:30" s="20" customFormat="1" ht="36" customHeight="1" x14ac:dyDescent="0.25">
      <c r="A1801" s="2">
        <f t="shared" si="933"/>
        <v>1744</v>
      </c>
      <c r="B1801" s="6">
        <f t="shared" si="930"/>
        <v>1744</v>
      </c>
      <c r="C1801" s="19" t="s">
        <v>1661</v>
      </c>
      <c r="D1801" s="4">
        <f t="shared" si="931"/>
        <v>1296346.4000000001</v>
      </c>
      <c r="E1801" s="1">
        <f t="shared" si="934"/>
        <v>1246346.4000000001</v>
      </c>
      <c r="F1801" s="1">
        <f>804*371.6</f>
        <v>298766.40000000002</v>
      </c>
      <c r="G1801" s="1">
        <f>1693*371.6</f>
        <v>629118.80000000005</v>
      </c>
      <c r="H1801" s="1">
        <f>390*371.6</f>
        <v>144924</v>
      </c>
      <c r="I1801" s="1">
        <v>0</v>
      </c>
      <c r="J1801" s="1">
        <f>467*371.6</f>
        <v>173537.2</v>
      </c>
      <c r="K1801" s="1">
        <v>0</v>
      </c>
      <c r="L1801" s="2">
        <v>0</v>
      </c>
      <c r="M1801" s="1">
        <v>0</v>
      </c>
      <c r="N1801" s="1">
        <v>0</v>
      </c>
      <c r="O1801" s="1">
        <v>0</v>
      </c>
      <c r="P1801" s="1">
        <v>0</v>
      </c>
      <c r="Q1801" s="1">
        <f t="shared" si="935"/>
        <v>0</v>
      </c>
      <c r="R1801" s="1">
        <v>0</v>
      </c>
      <c r="S1801" s="1">
        <f t="shared" si="936"/>
        <v>0</v>
      </c>
      <c r="T1801" s="1">
        <v>0</v>
      </c>
      <c r="U1801" s="1">
        <v>50000</v>
      </c>
      <c r="V1801" s="1">
        <v>0</v>
      </c>
      <c r="W1801" s="1">
        <v>0</v>
      </c>
      <c r="X1801" s="1">
        <v>0</v>
      </c>
      <c r="Y1801" s="1">
        <v>0</v>
      </c>
      <c r="Z1801" s="1">
        <v>0</v>
      </c>
      <c r="AA1801" s="1">
        <v>0</v>
      </c>
      <c r="AB1801" s="1">
        <v>0</v>
      </c>
      <c r="AC1801" s="1">
        <v>0</v>
      </c>
      <c r="AD1801" s="1">
        <v>0</v>
      </c>
    </row>
    <row r="1802" spans="1:30" s="20" customFormat="1" ht="36" customHeight="1" x14ac:dyDescent="0.25">
      <c r="A1802" s="2">
        <f t="shared" si="933"/>
        <v>1745</v>
      </c>
      <c r="B1802" s="6">
        <f t="shared" si="930"/>
        <v>1745</v>
      </c>
      <c r="C1802" s="19" t="s">
        <v>1662</v>
      </c>
      <c r="D1802" s="4">
        <f t="shared" si="931"/>
        <v>1835334.1999999997</v>
      </c>
      <c r="E1802" s="1">
        <f t="shared" si="934"/>
        <v>1785334.1999999997</v>
      </c>
      <c r="F1802" s="1">
        <f>804*532.3</f>
        <v>427969.19999999995</v>
      </c>
      <c r="G1802" s="1">
        <f>1693*532.3</f>
        <v>901183.89999999991</v>
      </c>
      <c r="H1802" s="1">
        <f>390*532.3</f>
        <v>207596.99999999997</v>
      </c>
      <c r="I1802" s="1">
        <v>0</v>
      </c>
      <c r="J1802" s="1">
        <f>467*532.3</f>
        <v>248584.09999999998</v>
      </c>
      <c r="K1802" s="1">
        <v>0</v>
      </c>
      <c r="L1802" s="2">
        <v>0</v>
      </c>
      <c r="M1802" s="1">
        <v>0</v>
      </c>
      <c r="N1802" s="1">
        <v>0</v>
      </c>
      <c r="O1802" s="1">
        <v>0</v>
      </c>
      <c r="P1802" s="1">
        <v>0</v>
      </c>
      <c r="Q1802" s="1">
        <f t="shared" si="935"/>
        <v>0</v>
      </c>
      <c r="R1802" s="1">
        <v>0</v>
      </c>
      <c r="S1802" s="1">
        <f t="shared" si="936"/>
        <v>0</v>
      </c>
      <c r="T1802" s="1">
        <v>0</v>
      </c>
      <c r="U1802" s="1">
        <v>50000</v>
      </c>
      <c r="V1802" s="1">
        <v>0</v>
      </c>
      <c r="W1802" s="1">
        <v>0</v>
      </c>
      <c r="X1802" s="1">
        <v>0</v>
      </c>
      <c r="Y1802" s="1">
        <v>0</v>
      </c>
      <c r="Z1802" s="1">
        <v>0</v>
      </c>
      <c r="AA1802" s="1">
        <v>0</v>
      </c>
      <c r="AB1802" s="1">
        <v>0</v>
      </c>
      <c r="AC1802" s="1">
        <v>0</v>
      </c>
      <c r="AD1802" s="1">
        <v>0</v>
      </c>
    </row>
    <row r="1803" spans="1:30" s="20" customFormat="1" ht="36" customHeight="1" x14ac:dyDescent="0.25">
      <c r="A1803" s="2">
        <f t="shared" si="933"/>
        <v>1746</v>
      </c>
      <c r="B1803" s="6">
        <f t="shared" si="930"/>
        <v>1746</v>
      </c>
      <c r="C1803" s="19" t="s">
        <v>1663</v>
      </c>
      <c r="D1803" s="4">
        <f t="shared" si="931"/>
        <v>3205107.8000000003</v>
      </c>
      <c r="E1803" s="1">
        <f t="shared" si="934"/>
        <v>3155107.8000000003</v>
      </c>
      <c r="F1803" s="1">
        <f>804*940.7</f>
        <v>756322.8</v>
      </c>
      <c r="G1803" s="1">
        <f>1693*940.7</f>
        <v>1592605.1</v>
      </c>
      <c r="H1803" s="1">
        <f>390*940.7</f>
        <v>366873</v>
      </c>
      <c r="I1803" s="1">
        <v>0</v>
      </c>
      <c r="J1803" s="1">
        <f>467*940.7</f>
        <v>439306.9</v>
      </c>
      <c r="K1803" s="1">
        <v>0</v>
      </c>
      <c r="L1803" s="2">
        <v>0</v>
      </c>
      <c r="M1803" s="1">
        <v>0</v>
      </c>
      <c r="N1803" s="1">
        <v>0</v>
      </c>
      <c r="O1803" s="1">
        <v>0</v>
      </c>
      <c r="P1803" s="1">
        <v>0</v>
      </c>
      <c r="Q1803" s="1">
        <f t="shared" si="935"/>
        <v>0</v>
      </c>
      <c r="R1803" s="1">
        <v>0</v>
      </c>
      <c r="S1803" s="1">
        <f t="shared" si="936"/>
        <v>0</v>
      </c>
      <c r="T1803" s="1">
        <v>0</v>
      </c>
      <c r="U1803" s="1">
        <v>50000</v>
      </c>
      <c r="V1803" s="1">
        <v>0</v>
      </c>
      <c r="W1803" s="1">
        <v>0</v>
      </c>
      <c r="X1803" s="1">
        <v>0</v>
      </c>
      <c r="Y1803" s="1">
        <v>0</v>
      </c>
      <c r="Z1803" s="1">
        <v>0</v>
      </c>
      <c r="AA1803" s="1">
        <v>0</v>
      </c>
      <c r="AB1803" s="1">
        <v>0</v>
      </c>
      <c r="AC1803" s="1">
        <v>0</v>
      </c>
      <c r="AD1803" s="1">
        <v>0</v>
      </c>
    </row>
    <row r="1804" spans="1:30" s="20" customFormat="1" ht="36" customHeight="1" x14ac:dyDescent="0.25">
      <c r="A1804" s="2">
        <f t="shared" si="933"/>
        <v>1747</v>
      </c>
      <c r="B1804" s="6">
        <f t="shared" si="930"/>
        <v>1747</v>
      </c>
      <c r="C1804" s="19" t="s">
        <v>1664</v>
      </c>
      <c r="D1804" s="4">
        <f t="shared" si="931"/>
        <v>3511328</v>
      </c>
      <c r="E1804" s="1">
        <f t="shared" si="934"/>
        <v>3461328</v>
      </c>
      <c r="F1804" s="1">
        <f>804*1032</f>
        <v>829728</v>
      </c>
      <c r="G1804" s="1">
        <f>1693*1032</f>
        <v>1747176</v>
      </c>
      <c r="H1804" s="1">
        <f>390*1032</f>
        <v>402480</v>
      </c>
      <c r="I1804" s="1">
        <v>0</v>
      </c>
      <c r="J1804" s="1">
        <f>467*1032</f>
        <v>481944</v>
      </c>
      <c r="K1804" s="1">
        <v>0</v>
      </c>
      <c r="L1804" s="2">
        <v>0</v>
      </c>
      <c r="M1804" s="1">
        <v>0</v>
      </c>
      <c r="N1804" s="1">
        <v>0</v>
      </c>
      <c r="O1804" s="1">
        <v>0</v>
      </c>
      <c r="P1804" s="1">
        <v>0</v>
      </c>
      <c r="Q1804" s="1">
        <f t="shared" si="935"/>
        <v>0</v>
      </c>
      <c r="R1804" s="1">
        <v>0</v>
      </c>
      <c r="S1804" s="1">
        <f t="shared" si="936"/>
        <v>0</v>
      </c>
      <c r="T1804" s="1">
        <v>0</v>
      </c>
      <c r="U1804" s="1">
        <v>50000</v>
      </c>
      <c r="V1804" s="1">
        <v>0</v>
      </c>
      <c r="W1804" s="1">
        <v>0</v>
      </c>
      <c r="X1804" s="1">
        <v>0</v>
      </c>
      <c r="Y1804" s="1">
        <v>0</v>
      </c>
      <c r="Z1804" s="1">
        <v>0</v>
      </c>
      <c r="AA1804" s="1">
        <v>0</v>
      </c>
      <c r="AB1804" s="1">
        <v>0</v>
      </c>
      <c r="AC1804" s="1">
        <v>0</v>
      </c>
      <c r="AD1804" s="1">
        <v>0</v>
      </c>
    </row>
    <row r="1805" spans="1:30" s="20" customFormat="1" ht="36" customHeight="1" x14ac:dyDescent="0.25">
      <c r="A1805" s="2">
        <f t="shared" si="933"/>
        <v>1748</v>
      </c>
      <c r="B1805" s="6">
        <f t="shared" si="930"/>
        <v>1748</v>
      </c>
      <c r="C1805" s="19" t="s">
        <v>1083</v>
      </c>
      <c r="D1805" s="4">
        <f t="shared" si="931"/>
        <v>7081544.9000000004</v>
      </c>
      <c r="E1805" s="1">
        <f t="shared" si="934"/>
        <v>873519.89999999991</v>
      </c>
      <c r="F1805" s="1">
        <f>804*525.9</f>
        <v>422823.6</v>
      </c>
      <c r="G1805" s="1">
        <v>0</v>
      </c>
      <c r="H1805" s="1">
        <f>390*525.9</f>
        <v>205101</v>
      </c>
      <c r="I1805" s="1">
        <v>0</v>
      </c>
      <c r="J1805" s="1">
        <f>467*525.9</f>
        <v>245595.3</v>
      </c>
      <c r="K1805" s="1">
        <v>0</v>
      </c>
      <c r="L1805" s="2">
        <v>0</v>
      </c>
      <c r="M1805" s="1">
        <v>0</v>
      </c>
      <c r="N1805" s="1">
        <v>525</v>
      </c>
      <c r="O1805" s="1">
        <f>N1805*7750</f>
        <v>4068750</v>
      </c>
      <c r="P1805" s="1">
        <v>50</v>
      </c>
      <c r="Q1805" s="1">
        <f t="shared" si="935"/>
        <v>70000</v>
      </c>
      <c r="R1805" s="1">
        <v>525</v>
      </c>
      <c r="S1805" s="1">
        <f t="shared" si="936"/>
        <v>1969275</v>
      </c>
      <c r="T1805" s="1">
        <v>0</v>
      </c>
      <c r="U1805" s="1">
        <v>50000</v>
      </c>
      <c r="V1805" s="1">
        <v>0</v>
      </c>
      <c r="W1805" s="1">
        <v>50000</v>
      </c>
      <c r="X1805" s="1">
        <v>0</v>
      </c>
      <c r="Y1805" s="1">
        <v>0</v>
      </c>
      <c r="Z1805" s="1">
        <v>0</v>
      </c>
      <c r="AA1805" s="1">
        <v>0</v>
      </c>
      <c r="AB1805" s="1">
        <v>0</v>
      </c>
      <c r="AC1805" s="1">
        <v>0</v>
      </c>
      <c r="AD1805" s="1">
        <v>0</v>
      </c>
    </row>
    <row r="1806" spans="1:30" s="20" customFormat="1" ht="36" customHeight="1" x14ac:dyDescent="0.25">
      <c r="A1806" s="2">
        <f t="shared" si="933"/>
        <v>1749</v>
      </c>
      <c r="B1806" s="6">
        <f t="shared" si="930"/>
        <v>1749</v>
      </c>
      <c r="C1806" s="19" t="s">
        <v>1084</v>
      </c>
      <c r="D1806" s="4">
        <f t="shared" si="931"/>
        <v>7075161.2000000002</v>
      </c>
      <c r="E1806" s="1">
        <f t="shared" si="934"/>
        <v>937136.20000000007</v>
      </c>
      <c r="F1806" s="1">
        <f>804*564.2</f>
        <v>453616.80000000005</v>
      </c>
      <c r="G1806" s="1">
        <v>0</v>
      </c>
      <c r="H1806" s="1">
        <f>390*564.2</f>
        <v>220038.00000000003</v>
      </c>
      <c r="I1806" s="1">
        <v>0</v>
      </c>
      <c r="J1806" s="1">
        <f>467*564.2</f>
        <v>263481.40000000002</v>
      </c>
      <c r="K1806" s="1">
        <v>0</v>
      </c>
      <c r="L1806" s="2">
        <v>0</v>
      </c>
      <c r="M1806" s="1">
        <v>0</v>
      </c>
      <c r="N1806" s="1">
        <v>525</v>
      </c>
      <c r="O1806" s="1">
        <f>N1806*7750</f>
        <v>4068750</v>
      </c>
      <c r="P1806" s="1">
        <v>0</v>
      </c>
      <c r="Q1806" s="1">
        <f t="shared" si="935"/>
        <v>0</v>
      </c>
      <c r="R1806" s="1">
        <v>525</v>
      </c>
      <c r="S1806" s="1">
        <f t="shared" si="936"/>
        <v>1969275</v>
      </c>
      <c r="T1806" s="1">
        <v>0</v>
      </c>
      <c r="U1806" s="1">
        <v>50000</v>
      </c>
      <c r="V1806" s="1">
        <v>0</v>
      </c>
      <c r="W1806" s="1">
        <v>50000</v>
      </c>
      <c r="X1806" s="1">
        <v>0</v>
      </c>
      <c r="Y1806" s="1">
        <v>0</v>
      </c>
      <c r="Z1806" s="1">
        <v>0</v>
      </c>
      <c r="AA1806" s="1">
        <v>0</v>
      </c>
      <c r="AB1806" s="1">
        <v>0</v>
      </c>
      <c r="AC1806" s="1">
        <v>0</v>
      </c>
      <c r="AD1806" s="1">
        <v>0</v>
      </c>
    </row>
    <row r="1807" spans="1:30" s="20" customFormat="1" ht="36" customHeight="1" x14ac:dyDescent="0.25">
      <c r="A1807" s="2">
        <f t="shared" si="933"/>
        <v>1750</v>
      </c>
      <c r="B1807" s="6">
        <f t="shared" si="930"/>
        <v>1750</v>
      </c>
      <c r="C1807" s="19" t="s">
        <v>1085</v>
      </c>
      <c r="D1807" s="4">
        <f t="shared" si="931"/>
        <v>3782000</v>
      </c>
      <c r="E1807" s="1">
        <f t="shared" si="934"/>
        <v>0</v>
      </c>
      <c r="F1807" s="1">
        <v>0</v>
      </c>
      <c r="G1807" s="1">
        <v>0</v>
      </c>
      <c r="H1807" s="1">
        <v>0</v>
      </c>
      <c r="I1807" s="1">
        <v>0</v>
      </c>
      <c r="J1807" s="1">
        <v>0</v>
      </c>
      <c r="K1807" s="1">
        <v>0</v>
      </c>
      <c r="L1807" s="2">
        <v>0</v>
      </c>
      <c r="M1807" s="1">
        <v>0</v>
      </c>
      <c r="N1807" s="1">
        <v>488</v>
      </c>
      <c r="O1807" s="1">
        <f>N1807*7750</f>
        <v>3782000</v>
      </c>
      <c r="P1807" s="1">
        <v>0</v>
      </c>
      <c r="Q1807" s="1">
        <f t="shared" si="935"/>
        <v>0</v>
      </c>
      <c r="R1807" s="1">
        <v>0</v>
      </c>
      <c r="S1807" s="1">
        <f t="shared" si="936"/>
        <v>0</v>
      </c>
      <c r="T1807" s="1">
        <v>0</v>
      </c>
      <c r="U1807" s="1">
        <v>0</v>
      </c>
      <c r="V1807" s="1">
        <v>0</v>
      </c>
      <c r="W1807" s="1">
        <v>0</v>
      </c>
      <c r="X1807" s="1">
        <v>0</v>
      </c>
      <c r="Y1807" s="1">
        <v>0</v>
      </c>
      <c r="Z1807" s="1">
        <v>0</v>
      </c>
      <c r="AA1807" s="1">
        <v>0</v>
      </c>
      <c r="AB1807" s="1">
        <v>0</v>
      </c>
      <c r="AC1807" s="1">
        <v>0</v>
      </c>
      <c r="AD1807" s="1">
        <v>0</v>
      </c>
    </row>
    <row r="1808" spans="1:30" s="20" customFormat="1" ht="36" customHeight="1" x14ac:dyDescent="0.25">
      <c r="A1808" s="2">
        <f t="shared" si="933"/>
        <v>1751</v>
      </c>
      <c r="B1808" s="6">
        <f t="shared" si="930"/>
        <v>1751</v>
      </c>
      <c r="C1808" s="19" t="s">
        <v>1086</v>
      </c>
      <c r="D1808" s="4">
        <f t="shared" si="931"/>
        <v>3696750</v>
      </c>
      <c r="E1808" s="1">
        <f t="shared" si="934"/>
        <v>0</v>
      </c>
      <c r="F1808" s="1">
        <v>0</v>
      </c>
      <c r="G1808" s="1">
        <v>0</v>
      </c>
      <c r="H1808" s="1">
        <v>0</v>
      </c>
      <c r="I1808" s="1">
        <v>0</v>
      </c>
      <c r="J1808" s="1">
        <v>0</v>
      </c>
      <c r="K1808" s="1">
        <v>0</v>
      </c>
      <c r="L1808" s="2">
        <v>0</v>
      </c>
      <c r="M1808" s="1">
        <v>0</v>
      </c>
      <c r="N1808" s="1">
        <v>477</v>
      </c>
      <c r="O1808" s="1">
        <f>N1808*7750</f>
        <v>3696750</v>
      </c>
      <c r="P1808" s="1">
        <v>0</v>
      </c>
      <c r="Q1808" s="1">
        <f t="shared" si="935"/>
        <v>0</v>
      </c>
      <c r="R1808" s="1">
        <v>0</v>
      </c>
      <c r="S1808" s="1">
        <f t="shared" si="936"/>
        <v>0</v>
      </c>
      <c r="T1808" s="1">
        <v>0</v>
      </c>
      <c r="U1808" s="1">
        <v>0</v>
      </c>
      <c r="V1808" s="1">
        <v>0</v>
      </c>
      <c r="W1808" s="1">
        <v>0</v>
      </c>
      <c r="X1808" s="1">
        <v>0</v>
      </c>
      <c r="Y1808" s="1">
        <v>0</v>
      </c>
      <c r="Z1808" s="1">
        <v>0</v>
      </c>
      <c r="AA1808" s="1">
        <v>0</v>
      </c>
      <c r="AB1808" s="1">
        <v>0</v>
      </c>
      <c r="AC1808" s="1">
        <v>0</v>
      </c>
      <c r="AD1808" s="1">
        <v>0</v>
      </c>
    </row>
    <row r="1809" spans="1:30" s="20" customFormat="1" ht="36" customHeight="1" x14ac:dyDescent="0.25">
      <c r="A1809" s="2">
        <f t="shared" si="933"/>
        <v>1752</v>
      </c>
      <c r="B1809" s="6">
        <f t="shared" si="930"/>
        <v>1752</v>
      </c>
      <c r="C1809" s="19" t="s">
        <v>1087</v>
      </c>
      <c r="D1809" s="4">
        <f t="shared" si="931"/>
        <v>1119035</v>
      </c>
      <c r="E1809" s="1">
        <f t="shared" si="934"/>
        <v>0</v>
      </c>
      <c r="F1809" s="1">
        <v>0</v>
      </c>
      <c r="G1809" s="1">
        <v>0</v>
      </c>
      <c r="H1809" s="1">
        <v>0</v>
      </c>
      <c r="I1809" s="1">
        <v>0</v>
      </c>
      <c r="J1809" s="1">
        <v>0</v>
      </c>
      <c r="K1809" s="1">
        <v>0</v>
      </c>
      <c r="L1809" s="2">
        <v>0</v>
      </c>
      <c r="M1809" s="1">
        <v>0</v>
      </c>
      <c r="N1809" s="1">
        <v>0</v>
      </c>
      <c r="O1809" s="1">
        <v>0</v>
      </c>
      <c r="P1809" s="1">
        <v>0</v>
      </c>
      <c r="Q1809" s="1">
        <f t="shared" si="935"/>
        <v>0</v>
      </c>
      <c r="R1809" s="1">
        <v>285</v>
      </c>
      <c r="S1809" s="1">
        <f t="shared" si="936"/>
        <v>1069035</v>
      </c>
      <c r="T1809" s="1">
        <v>0</v>
      </c>
      <c r="U1809" s="1">
        <v>0</v>
      </c>
      <c r="V1809" s="1">
        <v>0</v>
      </c>
      <c r="W1809" s="1">
        <v>50000</v>
      </c>
      <c r="X1809" s="1">
        <v>0</v>
      </c>
      <c r="Y1809" s="1">
        <v>0</v>
      </c>
      <c r="Z1809" s="1">
        <v>0</v>
      </c>
      <c r="AA1809" s="1">
        <v>0</v>
      </c>
      <c r="AB1809" s="1">
        <v>0</v>
      </c>
      <c r="AC1809" s="1">
        <v>0</v>
      </c>
      <c r="AD1809" s="1">
        <v>0</v>
      </c>
    </row>
    <row r="1810" spans="1:30" s="20" customFormat="1" ht="36" customHeight="1" x14ac:dyDescent="0.25">
      <c r="A1810" s="2">
        <f t="shared" si="933"/>
        <v>1753</v>
      </c>
      <c r="B1810" s="6">
        <f t="shared" si="930"/>
        <v>1753</v>
      </c>
      <c r="C1810" s="19" t="s">
        <v>1547</v>
      </c>
      <c r="D1810" s="4">
        <f t="shared" si="931"/>
        <v>2601461.7999999998</v>
      </c>
      <c r="E1810" s="1">
        <f t="shared" si="934"/>
        <v>1362394.7999999998</v>
      </c>
      <c r="F1810" s="1">
        <f>804*406.2</f>
        <v>326584.8</v>
      </c>
      <c r="G1810" s="1">
        <f>1693*406.2</f>
        <v>687696.6</v>
      </c>
      <c r="H1810" s="1">
        <f>390*406.2</f>
        <v>158418</v>
      </c>
      <c r="I1810" s="1">
        <v>0</v>
      </c>
      <c r="J1810" s="1">
        <f>467*406.2</f>
        <v>189695.4</v>
      </c>
      <c r="K1810" s="1">
        <v>0</v>
      </c>
      <c r="L1810" s="2">
        <v>0</v>
      </c>
      <c r="M1810" s="1">
        <v>0</v>
      </c>
      <c r="N1810" s="1">
        <v>0</v>
      </c>
      <c r="O1810" s="1">
        <v>0</v>
      </c>
      <c r="P1810" s="1">
        <v>0</v>
      </c>
      <c r="Q1810" s="1">
        <f t="shared" si="935"/>
        <v>0</v>
      </c>
      <c r="R1810" s="1">
        <v>317</v>
      </c>
      <c r="S1810" s="1">
        <f>R1810*3751</f>
        <v>1189067</v>
      </c>
      <c r="T1810" s="1">
        <v>0</v>
      </c>
      <c r="U1810" s="1">
        <v>50000</v>
      </c>
      <c r="V1810" s="1">
        <v>0</v>
      </c>
      <c r="W1810" s="1">
        <v>0</v>
      </c>
      <c r="X1810" s="1">
        <v>0</v>
      </c>
      <c r="Y1810" s="1">
        <v>0</v>
      </c>
      <c r="Z1810" s="1">
        <v>0</v>
      </c>
      <c r="AA1810" s="1">
        <v>0</v>
      </c>
      <c r="AB1810" s="1">
        <v>0</v>
      </c>
      <c r="AC1810" s="1">
        <v>0</v>
      </c>
      <c r="AD1810" s="1">
        <v>0</v>
      </c>
    </row>
    <row r="1811" spans="1:30" s="20" customFormat="1" ht="36" customHeight="1" x14ac:dyDescent="0.25">
      <c r="A1811" s="2">
        <f t="shared" si="933"/>
        <v>1754</v>
      </c>
      <c r="B1811" s="6">
        <f t="shared" si="930"/>
        <v>1754</v>
      </c>
      <c r="C1811" s="19" t="s">
        <v>1089</v>
      </c>
      <c r="D1811" s="4">
        <f t="shared" si="931"/>
        <v>17651128.399999999</v>
      </c>
      <c r="E1811" s="1">
        <f t="shared" si="934"/>
        <v>10580528.399999999</v>
      </c>
      <c r="F1811" s="1">
        <f>804*3154.6</f>
        <v>2536298.4</v>
      </c>
      <c r="G1811" s="1">
        <f>1693*3154.6</f>
        <v>5340737.8</v>
      </c>
      <c r="H1811" s="1">
        <f>390*3154.6</f>
        <v>1230294</v>
      </c>
      <c r="I1811" s="1">
        <v>0</v>
      </c>
      <c r="J1811" s="1">
        <f>467*3154.6</f>
        <v>1473198.2</v>
      </c>
      <c r="K1811" s="1">
        <v>0</v>
      </c>
      <c r="L1811" s="2">
        <v>0</v>
      </c>
      <c r="M1811" s="1">
        <v>0</v>
      </c>
      <c r="N1811" s="1">
        <v>600</v>
      </c>
      <c r="O1811" s="1">
        <f>N1811*7750</f>
        <v>4650000</v>
      </c>
      <c r="P1811" s="1">
        <v>50</v>
      </c>
      <c r="Q1811" s="1">
        <f>P1811*1400</f>
        <v>70000</v>
      </c>
      <c r="R1811" s="1">
        <v>600</v>
      </c>
      <c r="S1811" s="1">
        <f t="shared" ref="S1811:S1821" si="937">R1811*3751</f>
        <v>2250600</v>
      </c>
      <c r="T1811" s="1">
        <v>0</v>
      </c>
      <c r="U1811" s="1">
        <v>50000</v>
      </c>
      <c r="V1811" s="1">
        <v>0</v>
      </c>
      <c r="W1811" s="1">
        <v>50000</v>
      </c>
      <c r="X1811" s="1">
        <v>0</v>
      </c>
      <c r="Y1811" s="1">
        <v>0</v>
      </c>
      <c r="Z1811" s="1">
        <v>0</v>
      </c>
      <c r="AA1811" s="1">
        <v>0</v>
      </c>
      <c r="AB1811" s="1">
        <v>0</v>
      </c>
      <c r="AC1811" s="1">
        <v>0</v>
      </c>
      <c r="AD1811" s="1">
        <v>0</v>
      </c>
    </row>
    <row r="1812" spans="1:30" s="20" customFormat="1" ht="36" customHeight="1" x14ac:dyDescent="0.25">
      <c r="A1812" s="2">
        <f t="shared" si="933"/>
        <v>1755</v>
      </c>
      <c r="B1812" s="6">
        <f t="shared" ref="B1812:B1819" si="938">A1812</f>
        <v>1755</v>
      </c>
      <c r="C1812" s="19" t="s">
        <v>1090</v>
      </c>
      <c r="D1812" s="4">
        <f t="shared" si="931"/>
        <v>14117410</v>
      </c>
      <c r="E1812" s="1">
        <f t="shared" si="934"/>
        <v>7116810.0000000009</v>
      </c>
      <c r="F1812" s="1">
        <f>804*1813.2</f>
        <v>1457812.8</v>
      </c>
      <c r="G1812" s="1">
        <f>1693*1813.2</f>
        <v>3069747.6</v>
      </c>
      <c r="H1812" s="1">
        <f>390*1813.2</f>
        <v>707148</v>
      </c>
      <c r="I1812" s="1">
        <f>571*1813.2</f>
        <v>1035337.2000000001</v>
      </c>
      <c r="J1812" s="1">
        <f>467*1813.2</f>
        <v>846764.4</v>
      </c>
      <c r="K1812" s="1">
        <v>0</v>
      </c>
      <c r="L1812" s="2">
        <v>0</v>
      </c>
      <c r="M1812" s="1">
        <v>0</v>
      </c>
      <c r="N1812" s="1">
        <v>600</v>
      </c>
      <c r="O1812" s="1">
        <f>N1812*7750</f>
        <v>4650000</v>
      </c>
      <c r="P1812" s="1">
        <v>0</v>
      </c>
      <c r="Q1812" s="1">
        <f>P1812*1400</f>
        <v>0</v>
      </c>
      <c r="R1812" s="1">
        <v>600</v>
      </c>
      <c r="S1812" s="1">
        <f t="shared" si="937"/>
        <v>2250600</v>
      </c>
      <c r="T1812" s="1">
        <v>0</v>
      </c>
      <c r="U1812" s="1">
        <v>50000</v>
      </c>
      <c r="V1812" s="1">
        <v>0</v>
      </c>
      <c r="W1812" s="1">
        <v>50000</v>
      </c>
      <c r="X1812" s="1">
        <v>0</v>
      </c>
      <c r="Y1812" s="1">
        <v>0</v>
      </c>
      <c r="Z1812" s="1">
        <v>0</v>
      </c>
      <c r="AA1812" s="1">
        <v>0</v>
      </c>
      <c r="AB1812" s="1">
        <v>0</v>
      </c>
      <c r="AC1812" s="1">
        <v>0</v>
      </c>
      <c r="AD1812" s="1">
        <v>0</v>
      </c>
    </row>
    <row r="1813" spans="1:30" s="20" customFormat="1" ht="36" customHeight="1" x14ac:dyDescent="0.25">
      <c r="A1813" s="2">
        <f t="shared" si="933"/>
        <v>1756</v>
      </c>
      <c r="B1813" s="6">
        <f t="shared" si="938"/>
        <v>1756</v>
      </c>
      <c r="C1813" s="19" t="s">
        <v>1091</v>
      </c>
      <c r="D1813" s="4">
        <f t="shared" si="931"/>
        <v>12142350</v>
      </c>
      <c r="E1813" s="1">
        <f t="shared" si="934"/>
        <v>5141750</v>
      </c>
      <c r="F1813" s="1">
        <f>804*1310</f>
        <v>1053240</v>
      </c>
      <c r="G1813" s="1">
        <f>1693*1310</f>
        <v>2217830</v>
      </c>
      <c r="H1813" s="1">
        <f>390*1310</f>
        <v>510900</v>
      </c>
      <c r="I1813" s="1">
        <f>571*1310</f>
        <v>748010</v>
      </c>
      <c r="J1813" s="1">
        <f>467*1310</f>
        <v>611770</v>
      </c>
      <c r="K1813" s="1">
        <v>0</v>
      </c>
      <c r="L1813" s="2">
        <v>0</v>
      </c>
      <c r="M1813" s="1">
        <v>0</v>
      </c>
      <c r="N1813" s="1">
        <v>600</v>
      </c>
      <c r="O1813" s="1">
        <f>N1813*7750</f>
        <v>4650000</v>
      </c>
      <c r="P1813" s="1">
        <v>0</v>
      </c>
      <c r="Q1813" s="1">
        <f>P1813*1400</f>
        <v>0</v>
      </c>
      <c r="R1813" s="1">
        <v>600</v>
      </c>
      <c r="S1813" s="1">
        <f t="shared" si="937"/>
        <v>2250600</v>
      </c>
      <c r="T1813" s="1">
        <v>0</v>
      </c>
      <c r="U1813" s="1">
        <v>50000</v>
      </c>
      <c r="V1813" s="1">
        <v>0</v>
      </c>
      <c r="W1813" s="1">
        <v>50000</v>
      </c>
      <c r="X1813" s="1">
        <v>0</v>
      </c>
      <c r="Y1813" s="1">
        <v>0</v>
      </c>
      <c r="Z1813" s="1">
        <v>0</v>
      </c>
      <c r="AA1813" s="1">
        <v>0</v>
      </c>
      <c r="AB1813" s="1">
        <v>0</v>
      </c>
      <c r="AC1813" s="1">
        <v>0</v>
      </c>
      <c r="AD1813" s="1">
        <v>0</v>
      </c>
    </row>
    <row r="1814" spans="1:30" s="20" customFormat="1" ht="36" customHeight="1" x14ac:dyDescent="0.25">
      <c r="A1814" s="2">
        <f t="shared" si="933"/>
        <v>1757</v>
      </c>
      <c r="B1814" s="6">
        <f t="shared" si="938"/>
        <v>1757</v>
      </c>
      <c r="C1814" s="19" t="s">
        <v>1092</v>
      </c>
      <c r="D1814" s="4">
        <f t="shared" si="931"/>
        <v>5266757</v>
      </c>
      <c r="E1814" s="1">
        <f t="shared" si="934"/>
        <v>1257377</v>
      </c>
      <c r="F1814" s="1">
        <f>804*757</f>
        <v>608628</v>
      </c>
      <c r="G1814" s="1">
        <v>0</v>
      </c>
      <c r="H1814" s="1">
        <f>390*757</f>
        <v>295230</v>
      </c>
      <c r="I1814" s="1">
        <v>0</v>
      </c>
      <c r="J1814" s="1">
        <f>467*757</f>
        <v>353519</v>
      </c>
      <c r="K1814" s="1">
        <v>0</v>
      </c>
      <c r="L1814" s="2">
        <v>0</v>
      </c>
      <c r="M1814" s="1">
        <v>0</v>
      </c>
      <c r="N1814" s="1">
        <v>500</v>
      </c>
      <c r="O1814" s="1">
        <f>N1814*4968</f>
        <v>2484000</v>
      </c>
      <c r="P1814" s="1">
        <v>0</v>
      </c>
      <c r="Q1814" s="1">
        <f t="shared" ref="Q1814:Q1821" si="939">P1814*1400</f>
        <v>0</v>
      </c>
      <c r="R1814" s="1">
        <v>380</v>
      </c>
      <c r="S1814" s="1">
        <f>R1814*3751</f>
        <v>1425380</v>
      </c>
      <c r="T1814" s="1">
        <v>0</v>
      </c>
      <c r="U1814" s="1">
        <v>50000</v>
      </c>
      <c r="V1814" s="1">
        <v>0</v>
      </c>
      <c r="W1814" s="1">
        <v>50000</v>
      </c>
      <c r="X1814" s="1">
        <v>0</v>
      </c>
      <c r="Y1814" s="1">
        <v>0</v>
      </c>
      <c r="Z1814" s="1">
        <v>0</v>
      </c>
      <c r="AA1814" s="1">
        <v>0</v>
      </c>
      <c r="AB1814" s="1">
        <v>0</v>
      </c>
      <c r="AC1814" s="1">
        <v>0</v>
      </c>
      <c r="AD1814" s="1">
        <v>0</v>
      </c>
    </row>
    <row r="1815" spans="1:30" s="20" customFormat="1" ht="36" customHeight="1" x14ac:dyDescent="0.25">
      <c r="A1815" s="2">
        <f t="shared" si="933"/>
        <v>1758</v>
      </c>
      <c r="B1815" s="6">
        <f t="shared" si="938"/>
        <v>1758</v>
      </c>
      <c r="C1815" s="19" t="s">
        <v>1093</v>
      </c>
      <c r="D1815" s="4">
        <f t="shared" si="931"/>
        <v>5321570</v>
      </c>
      <c r="E1815" s="1">
        <f t="shared" si="934"/>
        <v>1312190</v>
      </c>
      <c r="F1815" s="1">
        <f>804*790</f>
        <v>635160</v>
      </c>
      <c r="G1815" s="1">
        <v>0</v>
      </c>
      <c r="H1815" s="1">
        <f>390*790</f>
        <v>308100</v>
      </c>
      <c r="I1815" s="1">
        <v>0</v>
      </c>
      <c r="J1815" s="1">
        <f>467*790</f>
        <v>368930</v>
      </c>
      <c r="K1815" s="1">
        <v>0</v>
      </c>
      <c r="L1815" s="2">
        <v>0</v>
      </c>
      <c r="M1815" s="1">
        <v>0</v>
      </c>
      <c r="N1815" s="1">
        <v>500</v>
      </c>
      <c r="O1815" s="1">
        <f>N1815*4968</f>
        <v>2484000</v>
      </c>
      <c r="P1815" s="1">
        <v>0</v>
      </c>
      <c r="Q1815" s="1">
        <f t="shared" si="939"/>
        <v>0</v>
      </c>
      <c r="R1815" s="1">
        <v>380</v>
      </c>
      <c r="S1815" s="1">
        <f>R1815*3751</f>
        <v>1425380</v>
      </c>
      <c r="T1815" s="1">
        <v>0</v>
      </c>
      <c r="U1815" s="1">
        <v>50000</v>
      </c>
      <c r="V1815" s="1">
        <v>0</v>
      </c>
      <c r="W1815" s="1">
        <v>50000</v>
      </c>
      <c r="X1815" s="1">
        <v>0</v>
      </c>
      <c r="Y1815" s="1">
        <v>0</v>
      </c>
      <c r="Z1815" s="1">
        <v>0</v>
      </c>
      <c r="AA1815" s="1">
        <v>0</v>
      </c>
      <c r="AB1815" s="1">
        <v>0</v>
      </c>
      <c r="AC1815" s="1">
        <v>0</v>
      </c>
      <c r="AD1815" s="1">
        <v>0</v>
      </c>
    </row>
    <row r="1816" spans="1:30" s="20" customFormat="1" ht="36" customHeight="1" x14ac:dyDescent="0.25">
      <c r="A1816" s="2">
        <f t="shared" si="933"/>
        <v>1759</v>
      </c>
      <c r="B1816" s="6">
        <f t="shared" si="938"/>
        <v>1759</v>
      </c>
      <c r="C1816" s="19" t="s">
        <v>1094</v>
      </c>
      <c r="D1816" s="4">
        <f t="shared" si="931"/>
        <v>5236859</v>
      </c>
      <c r="E1816" s="1">
        <f t="shared" si="934"/>
        <v>1227479</v>
      </c>
      <c r="F1816" s="1">
        <f>804*739</f>
        <v>594156</v>
      </c>
      <c r="G1816" s="1">
        <v>0</v>
      </c>
      <c r="H1816" s="1">
        <f>390*739</f>
        <v>288210</v>
      </c>
      <c r="I1816" s="1">
        <v>0</v>
      </c>
      <c r="J1816" s="1">
        <f>467*739</f>
        <v>345113</v>
      </c>
      <c r="K1816" s="1">
        <v>0</v>
      </c>
      <c r="L1816" s="2">
        <v>0</v>
      </c>
      <c r="M1816" s="1">
        <v>0</v>
      </c>
      <c r="N1816" s="1">
        <v>500</v>
      </c>
      <c r="O1816" s="1">
        <f>N1816*4968</f>
        <v>2484000</v>
      </c>
      <c r="P1816" s="1">
        <v>0</v>
      </c>
      <c r="Q1816" s="1">
        <f t="shared" si="939"/>
        <v>0</v>
      </c>
      <c r="R1816" s="1">
        <v>380</v>
      </c>
      <c r="S1816" s="1">
        <f>R1816*3751</f>
        <v>1425380</v>
      </c>
      <c r="T1816" s="1">
        <v>0</v>
      </c>
      <c r="U1816" s="1">
        <v>50000</v>
      </c>
      <c r="V1816" s="1">
        <v>0</v>
      </c>
      <c r="W1816" s="1">
        <v>50000</v>
      </c>
      <c r="X1816" s="1">
        <v>0</v>
      </c>
      <c r="Y1816" s="1">
        <v>0</v>
      </c>
      <c r="Z1816" s="1">
        <v>0</v>
      </c>
      <c r="AA1816" s="1">
        <v>0</v>
      </c>
      <c r="AB1816" s="1">
        <v>0</v>
      </c>
      <c r="AC1816" s="1">
        <v>0</v>
      </c>
      <c r="AD1816" s="1">
        <v>0</v>
      </c>
    </row>
    <row r="1817" spans="1:30" s="20" customFormat="1" ht="36" customHeight="1" x14ac:dyDescent="0.25">
      <c r="A1817" s="2">
        <f t="shared" si="933"/>
        <v>1760</v>
      </c>
      <c r="B1817" s="6">
        <f t="shared" si="938"/>
        <v>1760</v>
      </c>
      <c r="C1817" s="19" t="s">
        <v>1095</v>
      </c>
      <c r="D1817" s="4">
        <f t="shared" si="931"/>
        <v>6046884</v>
      </c>
      <c r="E1817" s="1">
        <f t="shared" si="934"/>
        <v>1259064</v>
      </c>
      <c r="F1817" s="1">
        <f>804*522</f>
        <v>419688</v>
      </c>
      <c r="G1817" s="1">
        <v>0</v>
      </c>
      <c r="H1817" s="1">
        <f>804*522</f>
        <v>419688</v>
      </c>
      <c r="I1817" s="1">
        <v>0</v>
      </c>
      <c r="J1817" s="1">
        <f>804*522</f>
        <v>419688</v>
      </c>
      <c r="K1817" s="1">
        <v>0</v>
      </c>
      <c r="L1817" s="2">
        <v>0</v>
      </c>
      <c r="M1817" s="1">
        <v>0</v>
      </c>
      <c r="N1817" s="1">
        <v>450</v>
      </c>
      <c r="O1817" s="1">
        <f>N1817*7750</f>
        <v>3487500</v>
      </c>
      <c r="P1817" s="1">
        <v>0</v>
      </c>
      <c r="Q1817" s="1">
        <f t="shared" si="939"/>
        <v>0</v>
      </c>
      <c r="R1817" s="1">
        <v>320</v>
      </c>
      <c r="S1817" s="1">
        <f>R1817*3751</f>
        <v>1200320</v>
      </c>
      <c r="T1817" s="1">
        <v>0</v>
      </c>
      <c r="U1817" s="1">
        <v>50000</v>
      </c>
      <c r="V1817" s="1">
        <v>0</v>
      </c>
      <c r="W1817" s="1">
        <v>50000</v>
      </c>
      <c r="X1817" s="1">
        <v>0</v>
      </c>
      <c r="Y1817" s="1">
        <v>0</v>
      </c>
      <c r="Z1817" s="1">
        <v>0</v>
      </c>
      <c r="AA1817" s="1">
        <v>0</v>
      </c>
      <c r="AB1817" s="1">
        <v>0</v>
      </c>
      <c r="AC1817" s="1">
        <v>0</v>
      </c>
      <c r="AD1817" s="1">
        <v>0</v>
      </c>
    </row>
    <row r="1818" spans="1:30" s="20" customFormat="1" ht="36" customHeight="1" x14ac:dyDescent="0.25">
      <c r="A1818" s="2">
        <f t="shared" si="933"/>
        <v>1761</v>
      </c>
      <c r="B1818" s="6">
        <f t="shared" si="938"/>
        <v>1761</v>
      </c>
      <c r="C1818" s="19" t="s">
        <v>1096</v>
      </c>
      <c r="D1818" s="4">
        <f t="shared" si="931"/>
        <v>9286786.8000000007</v>
      </c>
      <c r="E1818" s="1">
        <f t="shared" si="934"/>
        <v>1526126.7999999998</v>
      </c>
      <c r="F1818" s="1">
        <f>804*918.8</f>
        <v>738715.2</v>
      </c>
      <c r="G1818" s="1">
        <v>0</v>
      </c>
      <c r="H1818" s="1">
        <f>390*918.8</f>
        <v>358332</v>
      </c>
      <c r="I1818" s="1">
        <v>0</v>
      </c>
      <c r="J1818" s="1">
        <f>467*918.8</f>
        <v>429079.6</v>
      </c>
      <c r="K1818" s="1">
        <v>0</v>
      </c>
      <c r="L1818" s="2">
        <v>0</v>
      </c>
      <c r="M1818" s="1">
        <v>0</v>
      </c>
      <c r="N1818" s="1">
        <v>660</v>
      </c>
      <c r="O1818" s="1">
        <f>N1818*7750</f>
        <v>5115000</v>
      </c>
      <c r="P1818" s="1">
        <v>50</v>
      </c>
      <c r="Q1818" s="1">
        <f t="shared" si="939"/>
        <v>70000</v>
      </c>
      <c r="R1818" s="1">
        <v>660</v>
      </c>
      <c r="S1818" s="1">
        <f t="shared" si="937"/>
        <v>2475660</v>
      </c>
      <c r="T1818" s="1">
        <v>0</v>
      </c>
      <c r="U1818" s="1">
        <v>50000</v>
      </c>
      <c r="V1818" s="1">
        <v>0</v>
      </c>
      <c r="W1818" s="1">
        <v>50000</v>
      </c>
      <c r="X1818" s="1">
        <v>0</v>
      </c>
      <c r="Y1818" s="1">
        <v>0</v>
      </c>
      <c r="Z1818" s="1">
        <v>0</v>
      </c>
      <c r="AA1818" s="1">
        <v>0</v>
      </c>
      <c r="AB1818" s="1">
        <v>0</v>
      </c>
      <c r="AC1818" s="1">
        <v>0</v>
      </c>
      <c r="AD1818" s="1">
        <v>0</v>
      </c>
    </row>
    <row r="1819" spans="1:30" s="20" customFormat="1" ht="36" customHeight="1" x14ac:dyDescent="0.25">
      <c r="A1819" s="2">
        <f t="shared" si="933"/>
        <v>1762</v>
      </c>
      <c r="B1819" s="6">
        <f t="shared" si="938"/>
        <v>1762</v>
      </c>
      <c r="C1819" s="19" t="s">
        <v>1097</v>
      </c>
      <c r="D1819" s="4">
        <f t="shared" si="931"/>
        <v>9324090.1999999993</v>
      </c>
      <c r="E1819" s="1">
        <f t="shared" si="934"/>
        <v>4347790.1999999993</v>
      </c>
      <c r="F1819" s="1">
        <f>804*1296.3</f>
        <v>1042225.2</v>
      </c>
      <c r="G1819" s="1">
        <f>1693*1296.3</f>
        <v>2194635.9</v>
      </c>
      <c r="H1819" s="1">
        <f>390*1296.3</f>
        <v>505557</v>
      </c>
      <c r="I1819" s="1">
        <v>0</v>
      </c>
      <c r="J1819" s="1">
        <f>467*1296.3</f>
        <v>605372.1</v>
      </c>
      <c r="K1819" s="1">
        <v>0</v>
      </c>
      <c r="L1819" s="2">
        <v>0</v>
      </c>
      <c r="M1819" s="1">
        <v>0</v>
      </c>
      <c r="N1819" s="1">
        <v>0</v>
      </c>
      <c r="O1819" s="1">
        <v>0</v>
      </c>
      <c r="P1819" s="1">
        <v>0</v>
      </c>
      <c r="Q1819" s="1">
        <f t="shared" si="939"/>
        <v>0</v>
      </c>
      <c r="R1819" s="1">
        <v>1300</v>
      </c>
      <c r="S1819" s="1">
        <f t="shared" si="937"/>
        <v>4876300</v>
      </c>
      <c r="T1819" s="1">
        <v>0</v>
      </c>
      <c r="U1819" s="1">
        <v>50000</v>
      </c>
      <c r="V1819" s="1">
        <v>0</v>
      </c>
      <c r="W1819" s="1">
        <v>50000</v>
      </c>
      <c r="X1819" s="1">
        <v>0</v>
      </c>
      <c r="Y1819" s="1">
        <v>0</v>
      </c>
      <c r="Z1819" s="1">
        <v>0</v>
      </c>
      <c r="AA1819" s="1">
        <v>0</v>
      </c>
      <c r="AB1819" s="1">
        <v>0</v>
      </c>
      <c r="AC1819" s="1">
        <v>0</v>
      </c>
      <c r="AD1819" s="1">
        <v>0</v>
      </c>
    </row>
    <row r="1820" spans="1:30" s="20" customFormat="1" ht="36" customHeight="1" x14ac:dyDescent="0.25">
      <c r="A1820" s="2">
        <f t="shared" si="933"/>
        <v>1763</v>
      </c>
      <c r="B1820" s="6">
        <f t="shared" ref="B1820:B1836" si="940">A1820</f>
        <v>1763</v>
      </c>
      <c r="C1820" s="19" t="s">
        <v>1098</v>
      </c>
      <c r="D1820" s="4">
        <f t="shared" si="931"/>
        <v>9334487.6000000015</v>
      </c>
      <c r="E1820" s="1">
        <f t="shared" si="934"/>
        <v>4358187.6000000006</v>
      </c>
      <c r="F1820" s="1">
        <f>804*1299.4</f>
        <v>1044717.6000000001</v>
      </c>
      <c r="G1820" s="1">
        <f>1693*1299.4</f>
        <v>2199884.2000000002</v>
      </c>
      <c r="H1820" s="1">
        <f>390*1299.4</f>
        <v>506766.00000000006</v>
      </c>
      <c r="I1820" s="1">
        <v>0</v>
      </c>
      <c r="J1820" s="1">
        <f>467*1299.4</f>
        <v>606819.80000000005</v>
      </c>
      <c r="K1820" s="1">
        <v>0</v>
      </c>
      <c r="L1820" s="2">
        <v>0</v>
      </c>
      <c r="M1820" s="1">
        <v>0</v>
      </c>
      <c r="N1820" s="1">
        <v>0</v>
      </c>
      <c r="O1820" s="1">
        <v>0</v>
      </c>
      <c r="P1820" s="1">
        <v>0</v>
      </c>
      <c r="Q1820" s="1">
        <f t="shared" si="939"/>
        <v>0</v>
      </c>
      <c r="R1820" s="1">
        <v>1300</v>
      </c>
      <c r="S1820" s="1">
        <f t="shared" si="937"/>
        <v>4876300</v>
      </c>
      <c r="T1820" s="1">
        <v>0</v>
      </c>
      <c r="U1820" s="1">
        <v>50000</v>
      </c>
      <c r="V1820" s="1">
        <v>0</v>
      </c>
      <c r="W1820" s="1">
        <v>50000</v>
      </c>
      <c r="X1820" s="1">
        <v>0</v>
      </c>
      <c r="Y1820" s="1">
        <v>0</v>
      </c>
      <c r="Z1820" s="1">
        <v>0</v>
      </c>
      <c r="AA1820" s="1">
        <v>0</v>
      </c>
      <c r="AB1820" s="1">
        <v>0</v>
      </c>
      <c r="AC1820" s="1">
        <v>0</v>
      </c>
      <c r="AD1820" s="1">
        <v>0</v>
      </c>
    </row>
    <row r="1821" spans="1:30" s="20" customFormat="1" ht="36" customHeight="1" x14ac:dyDescent="0.25">
      <c r="A1821" s="2">
        <f t="shared" si="933"/>
        <v>1764</v>
      </c>
      <c r="B1821" s="6">
        <f t="shared" si="940"/>
        <v>1764</v>
      </c>
      <c r="C1821" s="19" t="s">
        <v>1099</v>
      </c>
      <c r="D1821" s="4">
        <f t="shared" si="931"/>
        <v>10518114.199999999</v>
      </c>
      <c r="E1821" s="1">
        <f t="shared" si="934"/>
        <v>5541814.1999999993</v>
      </c>
      <c r="F1821" s="1">
        <f>804*1652.3</f>
        <v>1328449.2</v>
      </c>
      <c r="G1821" s="1">
        <f>1693*1652.3</f>
        <v>2797343.9</v>
      </c>
      <c r="H1821" s="1">
        <f>390*1652.3</f>
        <v>644397</v>
      </c>
      <c r="I1821" s="1">
        <v>0</v>
      </c>
      <c r="J1821" s="1">
        <f>467*1652.3</f>
        <v>771624.1</v>
      </c>
      <c r="K1821" s="1">
        <v>0</v>
      </c>
      <c r="L1821" s="2">
        <v>0</v>
      </c>
      <c r="M1821" s="1">
        <v>0</v>
      </c>
      <c r="N1821" s="1">
        <v>0</v>
      </c>
      <c r="O1821" s="1">
        <v>0</v>
      </c>
      <c r="P1821" s="1">
        <v>0</v>
      </c>
      <c r="Q1821" s="1">
        <f t="shared" si="939"/>
        <v>0</v>
      </c>
      <c r="R1821" s="1">
        <v>1300</v>
      </c>
      <c r="S1821" s="1">
        <f t="shared" si="937"/>
        <v>4876300</v>
      </c>
      <c r="T1821" s="1">
        <v>0</v>
      </c>
      <c r="U1821" s="1">
        <v>50000</v>
      </c>
      <c r="V1821" s="1">
        <v>0</v>
      </c>
      <c r="W1821" s="1">
        <v>50000</v>
      </c>
      <c r="X1821" s="1">
        <v>0</v>
      </c>
      <c r="Y1821" s="1">
        <v>0</v>
      </c>
      <c r="Z1821" s="1">
        <v>0</v>
      </c>
      <c r="AA1821" s="1">
        <v>0</v>
      </c>
      <c r="AB1821" s="1">
        <v>0</v>
      </c>
      <c r="AC1821" s="1">
        <v>0</v>
      </c>
      <c r="AD1821" s="1">
        <v>0</v>
      </c>
    </row>
    <row r="1822" spans="1:30" s="20" customFormat="1" ht="36" customHeight="1" x14ac:dyDescent="0.25">
      <c r="A1822" s="2">
        <f t="shared" si="933"/>
        <v>1765</v>
      </c>
      <c r="B1822" s="6">
        <f>A1822</f>
        <v>1765</v>
      </c>
      <c r="C1822" s="19" t="s">
        <v>593</v>
      </c>
      <c r="D1822" s="4">
        <f t="shared" si="931"/>
        <v>7075893.4000000004</v>
      </c>
      <c r="E1822" s="1">
        <f t="shared" si="934"/>
        <v>2338073.4000000004</v>
      </c>
      <c r="F1822" s="1">
        <f>804*697.1</f>
        <v>560468.4</v>
      </c>
      <c r="G1822" s="1">
        <f>1693*697.1</f>
        <v>1180190.3</v>
      </c>
      <c r="H1822" s="1">
        <f>390*697.1</f>
        <v>271869</v>
      </c>
      <c r="I1822" s="1">
        <v>0</v>
      </c>
      <c r="J1822" s="1">
        <f>467*697.1</f>
        <v>325545.7</v>
      </c>
      <c r="K1822" s="1">
        <v>0</v>
      </c>
      <c r="L1822" s="2">
        <v>0</v>
      </c>
      <c r="M1822" s="1">
        <v>0</v>
      </c>
      <c r="N1822" s="1">
        <v>450</v>
      </c>
      <c r="O1822" s="1">
        <f t="shared" ref="O1822:O1828" si="941">N1822*7750</f>
        <v>3487500</v>
      </c>
      <c r="P1822" s="1">
        <v>0</v>
      </c>
      <c r="Q1822" s="1">
        <f t="shared" si="935"/>
        <v>0</v>
      </c>
      <c r="R1822" s="1">
        <v>320</v>
      </c>
      <c r="S1822" s="1">
        <f t="shared" ref="S1822:S1828" si="942">R1822*3751</f>
        <v>1200320</v>
      </c>
      <c r="T1822" s="1">
        <v>0</v>
      </c>
      <c r="U1822" s="1">
        <v>50000</v>
      </c>
      <c r="V1822" s="1">
        <v>0</v>
      </c>
      <c r="W1822" s="1">
        <v>0</v>
      </c>
      <c r="X1822" s="1">
        <v>0</v>
      </c>
      <c r="Y1822" s="1">
        <v>0</v>
      </c>
      <c r="Z1822" s="1">
        <v>0</v>
      </c>
      <c r="AA1822" s="1">
        <v>0</v>
      </c>
      <c r="AB1822" s="1">
        <v>0</v>
      </c>
      <c r="AC1822" s="1">
        <v>0</v>
      </c>
      <c r="AD1822" s="1">
        <v>0</v>
      </c>
    </row>
    <row r="1823" spans="1:30" s="20" customFormat="1" ht="36" customHeight="1" x14ac:dyDescent="0.25">
      <c r="A1823" s="2">
        <f t="shared" si="933"/>
        <v>1766</v>
      </c>
      <c r="B1823" s="6">
        <f t="shared" si="940"/>
        <v>1766</v>
      </c>
      <c r="C1823" s="19" t="s">
        <v>594</v>
      </c>
      <c r="D1823" s="4">
        <f t="shared" si="931"/>
        <v>4687820</v>
      </c>
      <c r="E1823" s="1">
        <f t="shared" si="934"/>
        <v>0</v>
      </c>
      <c r="F1823" s="1">
        <v>0</v>
      </c>
      <c r="G1823" s="1">
        <v>0</v>
      </c>
      <c r="H1823" s="1">
        <v>0</v>
      </c>
      <c r="I1823" s="1">
        <v>0</v>
      </c>
      <c r="J1823" s="1">
        <v>0</v>
      </c>
      <c r="K1823" s="1">
        <v>0</v>
      </c>
      <c r="L1823" s="2">
        <v>0</v>
      </c>
      <c r="M1823" s="1">
        <v>0</v>
      </c>
      <c r="N1823" s="1">
        <v>450</v>
      </c>
      <c r="O1823" s="1">
        <f t="shared" si="941"/>
        <v>3487500</v>
      </c>
      <c r="P1823" s="1">
        <v>0</v>
      </c>
      <c r="Q1823" s="1">
        <f t="shared" si="935"/>
        <v>0</v>
      </c>
      <c r="R1823" s="1">
        <v>320</v>
      </c>
      <c r="S1823" s="1">
        <f t="shared" si="942"/>
        <v>1200320</v>
      </c>
      <c r="T1823" s="1">
        <v>0</v>
      </c>
      <c r="U1823" s="1">
        <v>0</v>
      </c>
      <c r="V1823" s="1">
        <v>0</v>
      </c>
      <c r="W1823" s="1">
        <v>0</v>
      </c>
      <c r="X1823" s="1">
        <v>0</v>
      </c>
      <c r="Y1823" s="1">
        <v>0</v>
      </c>
      <c r="Z1823" s="1">
        <v>0</v>
      </c>
      <c r="AA1823" s="1">
        <v>0</v>
      </c>
      <c r="AB1823" s="1">
        <v>0</v>
      </c>
      <c r="AC1823" s="1">
        <v>0</v>
      </c>
      <c r="AD1823" s="1">
        <v>0</v>
      </c>
    </row>
    <row r="1824" spans="1:30" s="20" customFormat="1" ht="36" customHeight="1" x14ac:dyDescent="0.25">
      <c r="A1824" s="2">
        <f t="shared" si="933"/>
        <v>1767</v>
      </c>
      <c r="B1824" s="6">
        <f t="shared" si="940"/>
        <v>1767</v>
      </c>
      <c r="C1824" s="19" t="s">
        <v>1101</v>
      </c>
      <c r="D1824" s="4">
        <f t="shared" si="931"/>
        <v>4491634.5999999996</v>
      </c>
      <c r="E1824" s="1">
        <f t="shared" si="934"/>
        <v>628854.60000000009</v>
      </c>
      <c r="F1824" s="1">
        <f>804*378.6</f>
        <v>304394.40000000002</v>
      </c>
      <c r="G1824" s="1">
        <v>0</v>
      </c>
      <c r="H1824" s="1">
        <f>390*378.6</f>
        <v>147654</v>
      </c>
      <c r="I1824" s="1">
        <v>0</v>
      </c>
      <c r="J1824" s="1">
        <f>467*378.6</f>
        <v>176806.2</v>
      </c>
      <c r="K1824" s="1">
        <v>0</v>
      </c>
      <c r="L1824" s="2">
        <v>0</v>
      </c>
      <c r="M1824" s="1">
        <v>0</v>
      </c>
      <c r="N1824" s="1">
        <v>350</v>
      </c>
      <c r="O1824" s="1">
        <f t="shared" si="941"/>
        <v>2712500</v>
      </c>
      <c r="P1824" s="1">
        <v>0</v>
      </c>
      <c r="Q1824" s="1">
        <f t="shared" si="935"/>
        <v>0</v>
      </c>
      <c r="R1824" s="1">
        <v>280</v>
      </c>
      <c r="S1824" s="1">
        <f t="shared" si="942"/>
        <v>1050280</v>
      </c>
      <c r="T1824" s="1">
        <v>0</v>
      </c>
      <c r="U1824" s="1">
        <v>50000</v>
      </c>
      <c r="V1824" s="1">
        <v>0</v>
      </c>
      <c r="W1824" s="1">
        <v>50000</v>
      </c>
      <c r="X1824" s="1">
        <v>0</v>
      </c>
      <c r="Y1824" s="1">
        <v>0</v>
      </c>
      <c r="Z1824" s="1">
        <v>0</v>
      </c>
      <c r="AA1824" s="1">
        <v>0</v>
      </c>
      <c r="AB1824" s="1">
        <v>0</v>
      </c>
      <c r="AC1824" s="1">
        <v>0</v>
      </c>
      <c r="AD1824" s="1">
        <v>0</v>
      </c>
    </row>
    <row r="1825" spans="1:30" s="20" customFormat="1" ht="36" customHeight="1" x14ac:dyDescent="0.25">
      <c r="A1825" s="2">
        <f t="shared" si="933"/>
        <v>1768</v>
      </c>
      <c r="B1825" s="6">
        <f t="shared" si="940"/>
        <v>1768</v>
      </c>
      <c r="C1825" s="19" t="s">
        <v>1102</v>
      </c>
      <c r="D1825" s="4">
        <f t="shared" si="931"/>
        <v>4495122.7</v>
      </c>
      <c r="E1825" s="1">
        <f t="shared" si="934"/>
        <v>632342.69999999995</v>
      </c>
      <c r="F1825" s="1">
        <f>804*380.7</f>
        <v>306082.8</v>
      </c>
      <c r="G1825" s="1">
        <v>0</v>
      </c>
      <c r="H1825" s="1">
        <f>390*380.7</f>
        <v>148473</v>
      </c>
      <c r="I1825" s="1">
        <v>0</v>
      </c>
      <c r="J1825" s="1">
        <f>467*380.7</f>
        <v>177786.9</v>
      </c>
      <c r="K1825" s="1">
        <v>0</v>
      </c>
      <c r="L1825" s="2">
        <v>0</v>
      </c>
      <c r="M1825" s="1">
        <v>0</v>
      </c>
      <c r="N1825" s="1">
        <v>350</v>
      </c>
      <c r="O1825" s="1">
        <f t="shared" si="941"/>
        <v>2712500</v>
      </c>
      <c r="P1825" s="1">
        <v>0</v>
      </c>
      <c r="Q1825" s="1">
        <f t="shared" si="935"/>
        <v>0</v>
      </c>
      <c r="R1825" s="1">
        <v>280</v>
      </c>
      <c r="S1825" s="1">
        <f t="shared" si="942"/>
        <v>1050280</v>
      </c>
      <c r="T1825" s="1">
        <v>0</v>
      </c>
      <c r="U1825" s="1">
        <v>50000</v>
      </c>
      <c r="V1825" s="1">
        <v>0</v>
      </c>
      <c r="W1825" s="1">
        <v>50000</v>
      </c>
      <c r="X1825" s="1">
        <v>0</v>
      </c>
      <c r="Y1825" s="1">
        <v>0</v>
      </c>
      <c r="Z1825" s="1">
        <v>0</v>
      </c>
      <c r="AA1825" s="1">
        <v>0</v>
      </c>
      <c r="AB1825" s="1">
        <v>0</v>
      </c>
      <c r="AC1825" s="1">
        <v>0</v>
      </c>
      <c r="AD1825" s="1">
        <v>0</v>
      </c>
    </row>
    <row r="1826" spans="1:30" s="20" customFormat="1" ht="36" customHeight="1" x14ac:dyDescent="0.25">
      <c r="A1826" s="2">
        <f t="shared" si="933"/>
        <v>1769</v>
      </c>
      <c r="B1826" s="6">
        <f t="shared" si="940"/>
        <v>1769</v>
      </c>
      <c r="C1826" s="19" t="s">
        <v>1103</v>
      </c>
      <c r="D1826" s="4">
        <f t="shared" si="931"/>
        <v>4495621</v>
      </c>
      <c r="E1826" s="1">
        <f t="shared" si="934"/>
        <v>632841</v>
      </c>
      <c r="F1826" s="1">
        <f>804*381</f>
        <v>306324</v>
      </c>
      <c r="G1826" s="1">
        <v>0</v>
      </c>
      <c r="H1826" s="1">
        <f>390*381</f>
        <v>148590</v>
      </c>
      <c r="I1826" s="1">
        <v>0</v>
      </c>
      <c r="J1826" s="1">
        <f>467*381</f>
        <v>177927</v>
      </c>
      <c r="K1826" s="1">
        <v>0</v>
      </c>
      <c r="L1826" s="2">
        <v>0</v>
      </c>
      <c r="M1826" s="1">
        <v>0</v>
      </c>
      <c r="N1826" s="1">
        <v>350</v>
      </c>
      <c r="O1826" s="1">
        <f t="shared" si="941"/>
        <v>2712500</v>
      </c>
      <c r="P1826" s="1">
        <v>0</v>
      </c>
      <c r="Q1826" s="1">
        <f t="shared" si="935"/>
        <v>0</v>
      </c>
      <c r="R1826" s="1">
        <v>280</v>
      </c>
      <c r="S1826" s="1">
        <f t="shared" si="942"/>
        <v>1050280</v>
      </c>
      <c r="T1826" s="1">
        <v>0</v>
      </c>
      <c r="U1826" s="1">
        <v>50000</v>
      </c>
      <c r="V1826" s="1">
        <v>0</v>
      </c>
      <c r="W1826" s="1">
        <v>50000</v>
      </c>
      <c r="X1826" s="1">
        <v>0</v>
      </c>
      <c r="Y1826" s="1">
        <v>0</v>
      </c>
      <c r="Z1826" s="1">
        <v>0</v>
      </c>
      <c r="AA1826" s="1">
        <v>0</v>
      </c>
      <c r="AB1826" s="1">
        <v>0</v>
      </c>
      <c r="AC1826" s="1">
        <v>0</v>
      </c>
      <c r="AD1826" s="1">
        <v>0</v>
      </c>
    </row>
    <row r="1827" spans="1:30" s="20" customFormat="1" ht="36" customHeight="1" x14ac:dyDescent="0.25">
      <c r="A1827" s="2">
        <f t="shared" si="933"/>
        <v>1770</v>
      </c>
      <c r="B1827" s="6">
        <f t="shared" si="940"/>
        <v>1770</v>
      </c>
      <c r="C1827" s="19" t="s">
        <v>1104</v>
      </c>
      <c r="D1827" s="4">
        <f t="shared" si="931"/>
        <v>11014174.5</v>
      </c>
      <c r="E1827" s="1">
        <f t="shared" si="934"/>
        <v>2836597.5</v>
      </c>
      <c r="F1827" s="1">
        <f>804*722.7</f>
        <v>581050.80000000005</v>
      </c>
      <c r="G1827" s="1">
        <f>1693*722.7</f>
        <v>1223531.1000000001</v>
      </c>
      <c r="H1827" s="1">
        <f>390*722.7</f>
        <v>281853</v>
      </c>
      <c r="I1827" s="1">
        <f>571*722.7</f>
        <v>412661.7</v>
      </c>
      <c r="J1827" s="1">
        <f>467*722.7</f>
        <v>337500.9</v>
      </c>
      <c r="K1827" s="1">
        <v>0</v>
      </c>
      <c r="L1827" s="2">
        <v>0</v>
      </c>
      <c r="M1827" s="1">
        <v>0</v>
      </c>
      <c r="N1827" s="1">
        <v>763</v>
      </c>
      <c r="O1827" s="1">
        <f t="shared" si="941"/>
        <v>5913250</v>
      </c>
      <c r="P1827" s="1">
        <v>0</v>
      </c>
      <c r="Q1827" s="1">
        <f t="shared" si="935"/>
        <v>0</v>
      </c>
      <c r="R1827" s="1">
        <v>577</v>
      </c>
      <c r="S1827" s="1">
        <f t="shared" si="942"/>
        <v>2164327</v>
      </c>
      <c r="T1827" s="1">
        <v>0</v>
      </c>
      <c r="U1827" s="1">
        <v>50000</v>
      </c>
      <c r="V1827" s="1">
        <v>0</v>
      </c>
      <c r="W1827" s="1">
        <v>50000</v>
      </c>
      <c r="X1827" s="1">
        <v>0</v>
      </c>
      <c r="Y1827" s="1">
        <v>0</v>
      </c>
      <c r="Z1827" s="1">
        <v>0</v>
      </c>
      <c r="AA1827" s="1">
        <v>0</v>
      </c>
      <c r="AB1827" s="1">
        <v>0</v>
      </c>
      <c r="AC1827" s="1">
        <v>0</v>
      </c>
      <c r="AD1827" s="1">
        <v>0</v>
      </c>
    </row>
    <row r="1828" spans="1:30" s="20" customFormat="1" ht="36" customHeight="1" x14ac:dyDescent="0.25">
      <c r="A1828" s="2">
        <f t="shared" si="933"/>
        <v>1771</v>
      </c>
      <c r="B1828" s="6">
        <f t="shared" si="940"/>
        <v>1771</v>
      </c>
      <c r="C1828" s="19" t="s">
        <v>1105</v>
      </c>
      <c r="D1828" s="4">
        <f t="shared" si="931"/>
        <v>11658322.5</v>
      </c>
      <c r="E1828" s="1">
        <f t="shared" si="934"/>
        <v>2887622.5000000005</v>
      </c>
      <c r="F1828" s="1">
        <f>804*735.7</f>
        <v>591502.80000000005</v>
      </c>
      <c r="G1828" s="1">
        <f>1693*735.7</f>
        <v>1245540.1000000001</v>
      </c>
      <c r="H1828" s="1">
        <f>390*735.7</f>
        <v>286923</v>
      </c>
      <c r="I1828" s="1">
        <f>571*735.7</f>
        <v>420084.7</v>
      </c>
      <c r="J1828" s="1">
        <f>467*735.7</f>
        <v>343571.9</v>
      </c>
      <c r="K1828" s="1">
        <v>0</v>
      </c>
      <c r="L1828" s="2">
        <v>0</v>
      </c>
      <c r="M1828" s="1">
        <v>0</v>
      </c>
      <c r="N1828" s="1">
        <v>780</v>
      </c>
      <c r="O1828" s="1">
        <f t="shared" si="941"/>
        <v>6045000</v>
      </c>
      <c r="P1828" s="1">
        <v>0</v>
      </c>
      <c r="Q1828" s="1">
        <f t="shared" si="935"/>
        <v>0</v>
      </c>
      <c r="R1828" s="1">
        <v>700</v>
      </c>
      <c r="S1828" s="1">
        <f t="shared" si="942"/>
        <v>2625700</v>
      </c>
      <c r="T1828" s="1">
        <v>0</v>
      </c>
      <c r="U1828" s="1">
        <v>50000</v>
      </c>
      <c r="V1828" s="1">
        <v>0</v>
      </c>
      <c r="W1828" s="1">
        <v>50000</v>
      </c>
      <c r="X1828" s="1">
        <v>0</v>
      </c>
      <c r="Y1828" s="1">
        <v>0</v>
      </c>
      <c r="Z1828" s="1">
        <v>0</v>
      </c>
      <c r="AA1828" s="1">
        <v>0</v>
      </c>
      <c r="AB1828" s="1">
        <v>0</v>
      </c>
      <c r="AC1828" s="1">
        <v>0</v>
      </c>
      <c r="AD1828" s="1">
        <v>0</v>
      </c>
    </row>
    <row r="1829" spans="1:30" s="20" customFormat="1" ht="36" customHeight="1" x14ac:dyDescent="0.25">
      <c r="A1829" s="2">
        <f t="shared" si="933"/>
        <v>1772</v>
      </c>
      <c r="B1829" s="6">
        <f t="shared" si="940"/>
        <v>1772</v>
      </c>
      <c r="C1829" s="19" t="s">
        <v>1106</v>
      </c>
      <c r="D1829" s="4">
        <f t="shared" si="931"/>
        <v>1383667.3</v>
      </c>
      <c r="E1829" s="1">
        <f t="shared" si="934"/>
        <v>1283667.3</v>
      </c>
      <c r="F1829" s="1">
        <v>0</v>
      </c>
      <c r="G1829" s="1">
        <f>1693*411.3</f>
        <v>696330.9</v>
      </c>
      <c r="H1829" s="1">
        <f>390*411.3</f>
        <v>160407</v>
      </c>
      <c r="I1829" s="1">
        <f>571*411.3</f>
        <v>234852.30000000002</v>
      </c>
      <c r="J1829" s="1">
        <f>467*411.3</f>
        <v>192077.1</v>
      </c>
      <c r="K1829" s="1">
        <v>0</v>
      </c>
      <c r="L1829" s="2">
        <v>0</v>
      </c>
      <c r="M1829" s="1">
        <v>0</v>
      </c>
      <c r="N1829" s="1">
        <v>0</v>
      </c>
      <c r="O1829" s="1">
        <v>0</v>
      </c>
      <c r="P1829" s="1">
        <v>0</v>
      </c>
      <c r="Q1829" s="1">
        <f t="shared" si="935"/>
        <v>0</v>
      </c>
      <c r="R1829" s="1">
        <v>0</v>
      </c>
      <c r="S1829" s="1">
        <f t="shared" ref="S1829:S1836" si="943">R1829*3751</f>
        <v>0</v>
      </c>
      <c r="T1829" s="1">
        <v>0</v>
      </c>
      <c r="U1829" s="1">
        <v>50000</v>
      </c>
      <c r="V1829" s="1">
        <v>0</v>
      </c>
      <c r="W1829" s="1">
        <v>50000</v>
      </c>
      <c r="X1829" s="1">
        <v>0</v>
      </c>
      <c r="Y1829" s="1">
        <v>0</v>
      </c>
      <c r="Z1829" s="1">
        <v>0</v>
      </c>
      <c r="AA1829" s="1">
        <v>0</v>
      </c>
      <c r="AB1829" s="1">
        <v>0</v>
      </c>
      <c r="AC1829" s="1">
        <v>0</v>
      </c>
      <c r="AD1829" s="1">
        <v>0</v>
      </c>
    </row>
    <row r="1830" spans="1:30" s="20" customFormat="1" ht="36" customHeight="1" x14ac:dyDescent="0.25">
      <c r="A1830" s="2">
        <f t="shared" si="933"/>
        <v>1773</v>
      </c>
      <c r="B1830" s="6">
        <f t="shared" si="940"/>
        <v>1773</v>
      </c>
      <c r="C1830" s="19" t="s">
        <v>1108</v>
      </c>
      <c r="D1830" s="4">
        <f t="shared" si="931"/>
        <v>1351208.9</v>
      </c>
      <c r="E1830" s="1">
        <f t="shared" si="934"/>
        <v>1251208.8999999999</v>
      </c>
      <c r="F1830" s="1">
        <v>0</v>
      </c>
      <c r="G1830" s="1">
        <f>1693*400.9</f>
        <v>678723.7</v>
      </c>
      <c r="H1830" s="1">
        <f>390*400.9</f>
        <v>156351</v>
      </c>
      <c r="I1830" s="1">
        <f>571*400.9</f>
        <v>228913.9</v>
      </c>
      <c r="J1830" s="1">
        <f>467*400.9</f>
        <v>187220.3</v>
      </c>
      <c r="K1830" s="1">
        <v>0</v>
      </c>
      <c r="L1830" s="2">
        <v>0</v>
      </c>
      <c r="M1830" s="1">
        <v>0</v>
      </c>
      <c r="N1830" s="1">
        <v>0</v>
      </c>
      <c r="O1830" s="1">
        <v>0</v>
      </c>
      <c r="P1830" s="1">
        <v>0</v>
      </c>
      <c r="Q1830" s="1">
        <v>0</v>
      </c>
      <c r="R1830" s="1">
        <v>0</v>
      </c>
      <c r="S1830" s="1">
        <v>0</v>
      </c>
      <c r="T1830" s="1">
        <v>0</v>
      </c>
      <c r="U1830" s="1">
        <v>50000</v>
      </c>
      <c r="V1830" s="1">
        <v>0</v>
      </c>
      <c r="W1830" s="1">
        <v>50000</v>
      </c>
      <c r="X1830" s="1">
        <v>0</v>
      </c>
      <c r="Y1830" s="1">
        <v>0</v>
      </c>
      <c r="Z1830" s="1">
        <v>0</v>
      </c>
      <c r="AA1830" s="1">
        <v>0</v>
      </c>
      <c r="AB1830" s="1">
        <v>0</v>
      </c>
      <c r="AC1830" s="1">
        <v>0</v>
      </c>
      <c r="AD1830" s="1">
        <v>0</v>
      </c>
    </row>
    <row r="1831" spans="1:30" s="20" customFormat="1" ht="36" customHeight="1" x14ac:dyDescent="0.25">
      <c r="A1831" s="2">
        <f t="shared" si="933"/>
        <v>1774</v>
      </c>
      <c r="B1831" s="6">
        <f t="shared" si="940"/>
        <v>1774</v>
      </c>
      <c r="C1831" s="19" t="s">
        <v>1109</v>
      </c>
      <c r="D1831" s="4">
        <f t="shared" si="931"/>
        <v>3152338</v>
      </c>
      <c r="E1831" s="1">
        <f t="shared" si="934"/>
        <v>3052338</v>
      </c>
      <c r="F1831" s="1">
        <v>0</v>
      </c>
      <c r="G1831" s="1">
        <f>1693*978</f>
        <v>1655754</v>
      </c>
      <c r="H1831" s="1">
        <f>390*978</f>
        <v>381420</v>
      </c>
      <c r="I1831" s="1">
        <f>571*978</f>
        <v>558438</v>
      </c>
      <c r="J1831" s="1">
        <f>467*978</f>
        <v>456726</v>
      </c>
      <c r="K1831" s="1">
        <v>0</v>
      </c>
      <c r="L1831" s="2">
        <v>0</v>
      </c>
      <c r="M1831" s="1">
        <v>0</v>
      </c>
      <c r="N1831" s="1">
        <v>0</v>
      </c>
      <c r="O1831" s="1">
        <v>0</v>
      </c>
      <c r="P1831" s="1">
        <v>0</v>
      </c>
      <c r="Q1831" s="1">
        <v>0</v>
      </c>
      <c r="R1831" s="1">
        <v>0</v>
      </c>
      <c r="S1831" s="1">
        <v>0</v>
      </c>
      <c r="T1831" s="1">
        <v>0</v>
      </c>
      <c r="U1831" s="1">
        <v>50000</v>
      </c>
      <c r="V1831" s="1">
        <v>0</v>
      </c>
      <c r="W1831" s="1">
        <v>50000</v>
      </c>
      <c r="X1831" s="1">
        <v>0</v>
      </c>
      <c r="Y1831" s="1">
        <v>0</v>
      </c>
      <c r="Z1831" s="1">
        <v>0</v>
      </c>
      <c r="AA1831" s="1">
        <v>0</v>
      </c>
      <c r="AB1831" s="1">
        <v>0</v>
      </c>
      <c r="AC1831" s="1">
        <v>0</v>
      </c>
      <c r="AD1831" s="1">
        <v>0</v>
      </c>
    </row>
    <row r="1832" spans="1:30" s="20" customFormat="1" ht="36" customHeight="1" x14ac:dyDescent="0.25">
      <c r="A1832" s="2">
        <f t="shared" si="933"/>
        <v>1775</v>
      </c>
      <c r="B1832" s="6">
        <f t="shared" si="940"/>
        <v>1775</v>
      </c>
      <c r="C1832" s="19" t="s">
        <v>1110</v>
      </c>
      <c r="D1832" s="4">
        <f t="shared" si="931"/>
        <v>15141050</v>
      </c>
      <c r="E1832" s="1">
        <f t="shared" si="934"/>
        <v>8187550</v>
      </c>
      <c r="F1832" s="1">
        <f>804*2086</f>
        <v>1677144</v>
      </c>
      <c r="G1832" s="1">
        <f>1693*2086</f>
        <v>3531598</v>
      </c>
      <c r="H1832" s="1">
        <f>390*2086</f>
        <v>813540</v>
      </c>
      <c r="I1832" s="1">
        <f>571*2086</f>
        <v>1191106</v>
      </c>
      <c r="J1832" s="1">
        <f>467*2086</f>
        <v>974162</v>
      </c>
      <c r="K1832" s="1">
        <v>0</v>
      </c>
      <c r="L1832" s="2">
        <v>0</v>
      </c>
      <c r="M1832" s="1">
        <v>0</v>
      </c>
      <c r="N1832" s="1">
        <v>700</v>
      </c>
      <c r="O1832" s="1">
        <f>N1832*4968</f>
        <v>3477600</v>
      </c>
      <c r="P1832" s="1">
        <v>0</v>
      </c>
      <c r="Q1832" s="1">
        <f>P1832*1400</f>
        <v>0</v>
      </c>
      <c r="R1832" s="1">
        <v>900</v>
      </c>
      <c r="S1832" s="1">
        <f>R1832*3751</f>
        <v>3375900</v>
      </c>
      <c r="T1832" s="1">
        <v>0</v>
      </c>
      <c r="U1832" s="1">
        <v>50000</v>
      </c>
      <c r="V1832" s="1">
        <v>0</v>
      </c>
      <c r="W1832" s="1">
        <v>50000</v>
      </c>
      <c r="X1832" s="1">
        <v>0</v>
      </c>
      <c r="Y1832" s="1">
        <v>0</v>
      </c>
      <c r="Z1832" s="1">
        <v>0</v>
      </c>
      <c r="AA1832" s="1">
        <v>0</v>
      </c>
      <c r="AB1832" s="1">
        <v>0</v>
      </c>
      <c r="AC1832" s="1">
        <v>0</v>
      </c>
      <c r="AD1832" s="1">
        <v>0</v>
      </c>
    </row>
    <row r="1833" spans="1:30" s="20" customFormat="1" ht="36" customHeight="1" x14ac:dyDescent="0.25">
      <c r="A1833" s="2">
        <f t="shared" si="933"/>
        <v>1776</v>
      </c>
      <c r="B1833" s="6">
        <f t="shared" si="940"/>
        <v>1776</v>
      </c>
      <c r="C1833" s="19" t="s">
        <v>1111</v>
      </c>
      <c r="D1833" s="4">
        <f t="shared" si="931"/>
        <v>17813975</v>
      </c>
      <c r="E1833" s="1">
        <f t="shared" si="934"/>
        <v>10860475</v>
      </c>
      <c r="F1833" s="1">
        <f>804*2767</f>
        <v>2224668</v>
      </c>
      <c r="G1833" s="1">
        <f>1693*2767</f>
        <v>4684531</v>
      </c>
      <c r="H1833" s="1">
        <f>390*2767</f>
        <v>1079130</v>
      </c>
      <c r="I1833" s="1">
        <f>571*2767</f>
        <v>1579957</v>
      </c>
      <c r="J1833" s="1">
        <f>467*2767</f>
        <v>1292189</v>
      </c>
      <c r="K1833" s="1">
        <v>0</v>
      </c>
      <c r="L1833" s="2">
        <v>0</v>
      </c>
      <c r="M1833" s="1">
        <v>0</v>
      </c>
      <c r="N1833" s="1">
        <v>700</v>
      </c>
      <c r="O1833" s="1">
        <f>N1833*4968</f>
        <v>3477600</v>
      </c>
      <c r="P1833" s="1">
        <v>0</v>
      </c>
      <c r="Q1833" s="1">
        <f>P1833*1400</f>
        <v>0</v>
      </c>
      <c r="R1833" s="1">
        <v>900</v>
      </c>
      <c r="S1833" s="1">
        <f>R1833*3751</f>
        <v>3375900</v>
      </c>
      <c r="T1833" s="1">
        <v>0</v>
      </c>
      <c r="U1833" s="1">
        <v>50000</v>
      </c>
      <c r="V1833" s="1">
        <v>0</v>
      </c>
      <c r="W1833" s="1">
        <v>50000</v>
      </c>
      <c r="X1833" s="1">
        <v>0</v>
      </c>
      <c r="Y1833" s="1">
        <v>0</v>
      </c>
      <c r="Z1833" s="1">
        <v>0</v>
      </c>
      <c r="AA1833" s="1">
        <v>0</v>
      </c>
      <c r="AB1833" s="1">
        <v>0</v>
      </c>
      <c r="AC1833" s="1">
        <v>0</v>
      </c>
      <c r="AD1833" s="1">
        <v>0</v>
      </c>
    </row>
    <row r="1834" spans="1:30" s="20" customFormat="1" ht="36" customHeight="1" x14ac:dyDescent="0.25">
      <c r="A1834" s="2">
        <f t="shared" si="933"/>
        <v>1777</v>
      </c>
      <c r="B1834" s="6">
        <f>A1834</f>
        <v>1777</v>
      </c>
      <c r="C1834" s="19" t="s">
        <v>1107</v>
      </c>
      <c r="D1834" s="4">
        <f t="shared" si="931"/>
        <v>4884980</v>
      </c>
      <c r="E1834" s="1">
        <f>SUM(F1834:K1834)</f>
        <v>1153950</v>
      </c>
      <c r="F1834" s="1">
        <f>804*294</f>
        <v>236376</v>
      </c>
      <c r="G1834" s="1">
        <f>1693*294</f>
        <v>497742</v>
      </c>
      <c r="H1834" s="1">
        <f>390*294</f>
        <v>114660</v>
      </c>
      <c r="I1834" s="1">
        <f>571*294</f>
        <v>167874</v>
      </c>
      <c r="J1834" s="1">
        <f>467*294</f>
        <v>137298</v>
      </c>
      <c r="K1834" s="1">
        <v>0</v>
      </c>
      <c r="L1834" s="2">
        <v>0</v>
      </c>
      <c r="M1834" s="1">
        <v>0</v>
      </c>
      <c r="N1834" s="1">
        <v>333</v>
      </c>
      <c r="O1834" s="1">
        <f>N1834*7750</f>
        <v>2580750</v>
      </c>
      <c r="P1834" s="1">
        <v>0</v>
      </c>
      <c r="Q1834" s="1">
        <f>P1834*1400</f>
        <v>0</v>
      </c>
      <c r="R1834" s="1">
        <v>280</v>
      </c>
      <c r="S1834" s="1">
        <f>R1834*3751</f>
        <v>1050280</v>
      </c>
      <c r="T1834" s="1">
        <v>0</v>
      </c>
      <c r="U1834" s="1">
        <v>50000</v>
      </c>
      <c r="V1834" s="1">
        <v>0</v>
      </c>
      <c r="W1834" s="1">
        <v>50000</v>
      </c>
      <c r="X1834" s="1">
        <v>0</v>
      </c>
      <c r="Y1834" s="1">
        <v>0</v>
      </c>
      <c r="Z1834" s="1">
        <v>0</v>
      </c>
      <c r="AA1834" s="1">
        <v>0</v>
      </c>
      <c r="AB1834" s="1">
        <v>0</v>
      </c>
      <c r="AC1834" s="1">
        <v>0</v>
      </c>
      <c r="AD1834" s="1">
        <v>0</v>
      </c>
    </row>
    <row r="1835" spans="1:30" s="20" customFormat="1" ht="36" customHeight="1" x14ac:dyDescent="0.25">
      <c r="A1835" s="2">
        <f t="shared" si="933"/>
        <v>1778</v>
      </c>
      <c r="B1835" s="6">
        <f t="shared" si="940"/>
        <v>1778</v>
      </c>
      <c r="C1835" s="19" t="s">
        <v>1112</v>
      </c>
      <c r="D1835" s="4">
        <f t="shared" si="931"/>
        <v>3917093.6</v>
      </c>
      <c r="E1835" s="1">
        <f t="shared" si="934"/>
        <v>416793.59999999998</v>
      </c>
      <c r="F1835" s="1">
        <f>804*518.4</f>
        <v>416793.59999999998</v>
      </c>
      <c r="G1835" s="1">
        <v>0</v>
      </c>
      <c r="H1835" s="1">
        <v>0</v>
      </c>
      <c r="I1835" s="1">
        <v>0</v>
      </c>
      <c r="J1835" s="1">
        <v>0</v>
      </c>
      <c r="K1835" s="1">
        <v>0</v>
      </c>
      <c r="L1835" s="2">
        <v>0</v>
      </c>
      <c r="M1835" s="1">
        <v>0</v>
      </c>
      <c r="N1835" s="1">
        <v>300</v>
      </c>
      <c r="O1835" s="1">
        <f>N1835*7750</f>
        <v>2325000</v>
      </c>
      <c r="P1835" s="1">
        <v>0</v>
      </c>
      <c r="Q1835" s="1">
        <f t="shared" si="935"/>
        <v>0</v>
      </c>
      <c r="R1835" s="1">
        <v>300</v>
      </c>
      <c r="S1835" s="1">
        <f t="shared" si="943"/>
        <v>1125300</v>
      </c>
      <c r="T1835" s="1">
        <v>0</v>
      </c>
      <c r="U1835" s="1">
        <v>50000</v>
      </c>
      <c r="V1835" s="1">
        <v>0</v>
      </c>
      <c r="W1835" s="1">
        <v>0</v>
      </c>
      <c r="X1835" s="1">
        <v>0</v>
      </c>
      <c r="Y1835" s="1">
        <v>0</v>
      </c>
      <c r="Z1835" s="1">
        <v>0</v>
      </c>
      <c r="AA1835" s="1">
        <v>0</v>
      </c>
      <c r="AB1835" s="1">
        <v>0</v>
      </c>
      <c r="AC1835" s="1">
        <v>0</v>
      </c>
      <c r="AD1835" s="1">
        <v>0</v>
      </c>
    </row>
    <row r="1836" spans="1:30" s="20" customFormat="1" ht="36" customHeight="1" x14ac:dyDescent="0.25">
      <c r="A1836" s="2">
        <f t="shared" si="933"/>
        <v>1779</v>
      </c>
      <c r="B1836" s="6">
        <f t="shared" si="940"/>
        <v>1779</v>
      </c>
      <c r="C1836" s="19" t="s">
        <v>1113</v>
      </c>
      <c r="D1836" s="4">
        <f t="shared" si="931"/>
        <v>387658</v>
      </c>
      <c r="E1836" s="1">
        <f t="shared" si="934"/>
        <v>337658</v>
      </c>
      <c r="F1836" s="1">
        <v>0</v>
      </c>
      <c r="G1836" s="1">
        <v>0</v>
      </c>
      <c r="H1836" s="1">
        <f>390*394</f>
        <v>153660</v>
      </c>
      <c r="I1836" s="1">
        <v>0</v>
      </c>
      <c r="J1836" s="1">
        <f>467*394</f>
        <v>183998</v>
      </c>
      <c r="K1836" s="1">
        <v>0</v>
      </c>
      <c r="L1836" s="2">
        <v>0</v>
      </c>
      <c r="M1836" s="1">
        <v>0</v>
      </c>
      <c r="N1836" s="1">
        <v>0</v>
      </c>
      <c r="O1836" s="1">
        <v>0</v>
      </c>
      <c r="P1836" s="1">
        <v>0</v>
      </c>
      <c r="Q1836" s="1">
        <f t="shared" si="935"/>
        <v>0</v>
      </c>
      <c r="R1836" s="1">
        <v>0</v>
      </c>
      <c r="S1836" s="1">
        <f t="shared" si="943"/>
        <v>0</v>
      </c>
      <c r="T1836" s="1">
        <v>0</v>
      </c>
      <c r="U1836" s="1">
        <v>50000</v>
      </c>
      <c r="V1836" s="1">
        <v>0</v>
      </c>
      <c r="W1836" s="1">
        <v>0</v>
      </c>
      <c r="X1836" s="1">
        <v>0</v>
      </c>
      <c r="Y1836" s="1">
        <v>0</v>
      </c>
      <c r="Z1836" s="1">
        <v>0</v>
      </c>
      <c r="AA1836" s="1">
        <v>0</v>
      </c>
      <c r="AB1836" s="1">
        <v>0</v>
      </c>
      <c r="AC1836" s="1">
        <v>0</v>
      </c>
      <c r="AD1836" s="1">
        <v>0</v>
      </c>
    </row>
    <row r="1837" spans="1:30" s="20" customFormat="1" ht="54.95" customHeight="1" x14ac:dyDescent="0.25">
      <c r="A1837" s="3"/>
      <c r="B1837" s="47" t="s">
        <v>1983</v>
      </c>
      <c r="C1837" s="48"/>
      <c r="D1837" s="4">
        <f>SUM(D1838:D1855)</f>
        <v>75444292.939999998</v>
      </c>
      <c r="E1837" s="4">
        <f t="shared" ref="E1837:AD1837" si="944">SUM(E1838:E1855)</f>
        <v>10491303.439999999</v>
      </c>
      <c r="F1837" s="4">
        <f t="shared" si="944"/>
        <v>5788671.3600000003</v>
      </c>
      <c r="G1837" s="4">
        <f t="shared" si="944"/>
        <v>888825</v>
      </c>
      <c r="H1837" s="4">
        <f t="shared" si="944"/>
        <v>1869480.6</v>
      </c>
      <c r="I1837" s="4">
        <f t="shared" si="944"/>
        <v>0</v>
      </c>
      <c r="J1837" s="4">
        <f t="shared" si="944"/>
        <v>1944326.48</v>
      </c>
      <c r="K1837" s="4">
        <f t="shared" si="944"/>
        <v>0</v>
      </c>
      <c r="L1837" s="17">
        <f t="shared" si="944"/>
        <v>0</v>
      </c>
      <c r="M1837" s="4">
        <f t="shared" si="944"/>
        <v>0</v>
      </c>
      <c r="N1837" s="4">
        <f t="shared" si="944"/>
        <v>5341.4699999999993</v>
      </c>
      <c r="O1837" s="4">
        <f t="shared" si="944"/>
        <v>41396392.5</v>
      </c>
      <c r="P1837" s="4">
        <f t="shared" si="944"/>
        <v>0</v>
      </c>
      <c r="Q1837" s="4">
        <f t="shared" si="944"/>
        <v>0</v>
      </c>
      <c r="R1837" s="4">
        <f t="shared" si="944"/>
        <v>5347</v>
      </c>
      <c r="S1837" s="4">
        <f t="shared" si="944"/>
        <v>20056597</v>
      </c>
      <c r="T1837" s="4">
        <f t="shared" si="944"/>
        <v>1950000</v>
      </c>
      <c r="U1837" s="4">
        <f t="shared" si="944"/>
        <v>850000</v>
      </c>
      <c r="V1837" s="4">
        <f t="shared" si="944"/>
        <v>0</v>
      </c>
      <c r="W1837" s="4">
        <f t="shared" si="944"/>
        <v>700000</v>
      </c>
      <c r="X1837" s="4">
        <f t="shared" si="944"/>
        <v>0</v>
      </c>
      <c r="Y1837" s="4">
        <f t="shared" si="944"/>
        <v>0</v>
      </c>
      <c r="Z1837" s="4">
        <f t="shared" si="944"/>
        <v>0</v>
      </c>
      <c r="AA1837" s="4">
        <f t="shared" si="944"/>
        <v>0</v>
      </c>
      <c r="AB1837" s="4">
        <f t="shared" si="944"/>
        <v>0</v>
      </c>
      <c r="AC1837" s="4">
        <f t="shared" si="944"/>
        <v>0</v>
      </c>
      <c r="AD1837" s="4">
        <f t="shared" si="944"/>
        <v>0</v>
      </c>
    </row>
    <row r="1838" spans="1:30" s="20" customFormat="1" ht="36" customHeight="1" x14ac:dyDescent="0.25">
      <c r="A1838" s="2">
        <f>ROW()-ROW($A$11)-47</f>
        <v>1780</v>
      </c>
      <c r="B1838" s="6">
        <f>A1838</f>
        <v>1780</v>
      </c>
      <c r="C1838" s="19" t="s">
        <v>1114</v>
      </c>
      <c r="D1838" s="4">
        <f t="shared" ref="D1838:D1855" si="945">E1838+M1838+O1838+Q1838+S1838+T1838+U1838+V1838+W1838+X1838+Z1838+AA1838+AB1838+AC1838+AD1838</f>
        <v>1666984.4</v>
      </c>
      <c r="E1838" s="1">
        <f>SUM(F1838:K1838)</f>
        <v>366704.4</v>
      </c>
      <c r="F1838" s="1">
        <f>804*456.1</f>
        <v>366704.4</v>
      </c>
      <c r="G1838" s="1">
        <v>0</v>
      </c>
      <c r="H1838" s="1">
        <v>0</v>
      </c>
      <c r="I1838" s="1">
        <v>0</v>
      </c>
      <c r="J1838" s="1">
        <v>0</v>
      </c>
      <c r="K1838" s="1">
        <v>0</v>
      </c>
      <c r="L1838" s="2">
        <v>0</v>
      </c>
      <c r="M1838" s="1">
        <v>0</v>
      </c>
      <c r="N1838" s="1">
        <v>0</v>
      </c>
      <c r="O1838" s="1">
        <v>0</v>
      </c>
      <c r="P1838" s="1">
        <v>0</v>
      </c>
      <c r="Q1838" s="1">
        <f>P1838*1400</f>
        <v>0</v>
      </c>
      <c r="R1838" s="1">
        <v>280</v>
      </c>
      <c r="S1838" s="1">
        <f t="shared" ref="S1838:S1850" si="946">R1838*3751</f>
        <v>1050280</v>
      </c>
      <c r="T1838" s="1">
        <v>150000</v>
      </c>
      <c r="U1838" s="1">
        <v>50000</v>
      </c>
      <c r="V1838" s="1">
        <v>0</v>
      </c>
      <c r="W1838" s="1">
        <v>50000</v>
      </c>
      <c r="X1838" s="1">
        <v>0</v>
      </c>
      <c r="Y1838" s="1">
        <v>0</v>
      </c>
      <c r="Z1838" s="1">
        <v>0</v>
      </c>
      <c r="AA1838" s="1">
        <v>0</v>
      </c>
      <c r="AB1838" s="1">
        <v>0</v>
      </c>
      <c r="AC1838" s="1">
        <v>0</v>
      </c>
      <c r="AD1838" s="1">
        <v>0</v>
      </c>
    </row>
    <row r="1839" spans="1:30" s="20" customFormat="1" ht="36" customHeight="1" x14ac:dyDescent="0.25">
      <c r="A1839" s="2">
        <f t="shared" ref="A1839:A1855" si="947">ROW()-ROW($A$11)-47</f>
        <v>1781</v>
      </c>
      <c r="B1839" s="2">
        <f>A1839</f>
        <v>1781</v>
      </c>
      <c r="C1839" s="19" t="s">
        <v>1649</v>
      </c>
      <c r="D1839" s="39">
        <f t="shared" si="945"/>
        <v>4084670.8</v>
      </c>
      <c r="E1839" s="1">
        <f t="shared" ref="E1839:E1855" si="948">SUM(F1839:K1839)</f>
        <v>659390.80000000005</v>
      </c>
      <c r="F1839" s="1">
        <f>804*228.4</f>
        <v>183633.6</v>
      </c>
      <c r="G1839" s="1">
        <f>1693*228.4</f>
        <v>386681.2</v>
      </c>
      <c r="H1839" s="1">
        <f>390*228.4</f>
        <v>89076</v>
      </c>
      <c r="I1839" s="1">
        <v>0</v>
      </c>
      <c r="J1839" s="1">
        <v>0</v>
      </c>
      <c r="K1839" s="1">
        <v>0</v>
      </c>
      <c r="L1839" s="2">
        <v>0</v>
      </c>
      <c r="M1839" s="1">
        <v>0</v>
      </c>
      <c r="N1839" s="1">
        <v>300</v>
      </c>
      <c r="O1839" s="1">
        <f>N1839*7750</f>
        <v>2325000</v>
      </c>
      <c r="P1839" s="1">
        <v>0</v>
      </c>
      <c r="Q1839" s="1">
        <f t="shared" ref="Q1839:Q1852" si="949">P1839*1400</f>
        <v>0</v>
      </c>
      <c r="R1839" s="1">
        <v>280</v>
      </c>
      <c r="S1839" s="1">
        <f t="shared" si="946"/>
        <v>1050280</v>
      </c>
      <c r="T1839" s="1">
        <v>0</v>
      </c>
      <c r="U1839" s="1">
        <v>50000</v>
      </c>
      <c r="V1839" s="1">
        <v>0</v>
      </c>
      <c r="W1839" s="1">
        <v>0</v>
      </c>
      <c r="X1839" s="1">
        <v>0</v>
      </c>
      <c r="Y1839" s="1">
        <v>0</v>
      </c>
      <c r="Z1839" s="1">
        <v>0</v>
      </c>
      <c r="AA1839" s="1">
        <v>0</v>
      </c>
      <c r="AB1839" s="1">
        <v>0</v>
      </c>
      <c r="AC1839" s="1">
        <v>0</v>
      </c>
      <c r="AD1839" s="1">
        <v>0</v>
      </c>
    </row>
    <row r="1840" spans="1:30" s="20" customFormat="1" ht="36" customHeight="1" x14ac:dyDescent="0.25">
      <c r="A1840" s="2">
        <f t="shared" si="947"/>
        <v>1782</v>
      </c>
      <c r="B1840" s="2">
        <f t="shared" ref="B1840:B1851" si="950">A1840</f>
        <v>1782</v>
      </c>
      <c r="C1840" s="19" t="s">
        <v>1115</v>
      </c>
      <c r="D1840" s="39">
        <f t="shared" si="945"/>
        <v>2295076.4000000004</v>
      </c>
      <c r="E1840" s="1">
        <f t="shared" si="948"/>
        <v>994796.40000000014</v>
      </c>
      <c r="F1840" s="1">
        <f>804*296.6</f>
        <v>238466.40000000002</v>
      </c>
      <c r="G1840" s="1">
        <f>1693*296.6</f>
        <v>502143.80000000005</v>
      </c>
      <c r="H1840" s="1">
        <f>390*296.6</f>
        <v>115674.00000000001</v>
      </c>
      <c r="I1840" s="1">
        <v>0</v>
      </c>
      <c r="J1840" s="1">
        <f>467*296.6</f>
        <v>138512.20000000001</v>
      </c>
      <c r="K1840" s="1">
        <v>0</v>
      </c>
      <c r="L1840" s="2">
        <v>0</v>
      </c>
      <c r="M1840" s="1">
        <v>0</v>
      </c>
      <c r="N1840" s="1">
        <v>0</v>
      </c>
      <c r="O1840" s="1">
        <v>0</v>
      </c>
      <c r="P1840" s="1">
        <v>0</v>
      </c>
      <c r="Q1840" s="1">
        <f t="shared" si="949"/>
        <v>0</v>
      </c>
      <c r="R1840" s="1">
        <v>280</v>
      </c>
      <c r="S1840" s="1">
        <f t="shared" si="946"/>
        <v>1050280</v>
      </c>
      <c r="T1840" s="1">
        <v>150000</v>
      </c>
      <c r="U1840" s="1">
        <v>50000</v>
      </c>
      <c r="V1840" s="1">
        <v>0</v>
      </c>
      <c r="W1840" s="1">
        <v>50000</v>
      </c>
      <c r="X1840" s="1">
        <v>0</v>
      </c>
      <c r="Y1840" s="1">
        <v>0</v>
      </c>
      <c r="Z1840" s="1">
        <v>0</v>
      </c>
      <c r="AA1840" s="1">
        <v>0</v>
      </c>
      <c r="AB1840" s="1">
        <v>0</v>
      </c>
      <c r="AC1840" s="1">
        <v>0</v>
      </c>
      <c r="AD1840" s="1">
        <v>0</v>
      </c>
    </row>
    <row r="1841" spans="1:30" s="20" customFormat="1" ht="36" customHeight="1" x14ac:dyDescent="0.25">
      <c r="A1841" s="2">
        <f t="shared" si="947"/>
        <v>1783</v>
      </c>
      <c r="B1841" s="6">
        <f>A1841</f>
        <v>1783</v>
      </c>
      <c r="C1841" s="19" t="s">
        <v>1650</v>
      </c>
      <c r="D1841" s="4">
        <f t="shared" si="945"/>
        <v>2480000</v>
      </c>
      <c r="E1841" s="1">
        <f t="shared" si="948"/>
        <v>0</v>
      </c>
      <c r="F1841" s="1">
        <v>0</v>
      </c>
      <c r="G1841" s="1">
        <v>0</v>
      </c>
      <c r="H1841" s="1">
        <v>0</v>
      </c>
      <c r="I1841" s="1">
        <v>0</v>
      </c>
      <c r="J1841" s="1">
        <v>0</v>
      </c>
      <c r="K1841" s="1">
        <v>0</v>
      </c>
      <c r="L1841" s="2">
        <v>0</v>
      </c>
      <c r="M1841" s="1">
        <v>0</v>
      </c>
      <c r="N1841" s="1">
        <v>320</v>
      </c>
      <c r="O1841" s="1">
        <f>N1841*7750</f>
        <v>2480000</v>
      </c>
      <c r="P1841" s="1">
        <v>0</v>
      </c>
      <c r="Q1841" s="1">
        <f t="shared" si="949"/>
        <v>0</v>
      </c>
      <c r="R1841" s="1">
        <v>0</v>
      </c>
      <c r="S1841" s="1">
        <f t="shared" si="946"/>
        <v>0</v>
      </c>
      <c r="T1841" s="1">
        <v>0</v>
      </c>
      <c r="U1841" s="1">
        <v>0</v>
      </c>
      <c r="V1841" s="1">
        <v>0</v>
      </c>
      <c r="W1841" s="1">
        <v>0</v>
      </c>
      <c r="X1841" s="1">
        <v>0</v>
      </c>
      <c r="Y1841" s="1">
        <v>0</v>
      </c>
      <c r="Z1841" s="1">
        <v>0</v>
      </c>
      <c r="AA1841" s="1">
        <v>0</v>
      </c>
      <c r="AB1841" s="1">
        <v>0</v>
      </c>
      <c r="AC1841" s="1">
        <v>0</v>
      </c>
      <c r="AD1841" s="1">
        <v>0</v>
      </c>
    </row>
    <row r="1842" spans="1:30" s="20" customFormat="1" ht="36" customHeight="1" x14ac:dyDescent="0.25">
      <c r="A1842" s="2">
        <f t="shared" si="947"/>
        <v>1784</v>
      </c>
      <c r="B1842" s="6">
        <f t="shared" si="950"/>
        <v>1784</v>
      </c>
      <c r="C1842" s="19" t="s">
        <v>1116</v>
      </c>
      <c r="D1842" s="4">
        <f t="shared" si="945"/>
        <v>6611449.5</v>
      </c>
      <c r="E1842" s="1">
        <f t="shared" si="948"/>
        <v>871194.5</v>
      </c>
      <c r="F1842" s="1">
        <f>804*524.5</f>
        <v>421698</v>
      </c>
      <c r="G1842" s="1">
        <v>0</v>
      </c>
      <c r="H1842" s="1">
        <f>390*524.5</f>
        <v>204555</v>
      </c>
      <c r="I1842" s="1">
        <v>0</v>
      </c>
      <c r="J1842" s="1">
        <f>467*524.5</f>
        <v>244941.5</v>
      </c>
      <c r="K1842" s="1">
        <v>0</v>
      </c>
      <c r="L1842" s="2">
        <v>0</v>
      </c>
      <c r="M1842" s="1">
        <v>0</v>
      </c>
      <c r="N1842" s="1">
        <v>524.5</v>
      </c>
      <c r="O1842" s="1">
        <f>N1842*7750</f>
        <v>4064875</v>
      </c>
      <c r="P1842" s="1">
        <v>0</v>
      </c>
      <c r="Q1842" s="1">
        <f t="shared" si="949"/>
        <v>0</v>
      </c>
      <c r="R1842" s="1">
        <v>380</v>
      </c>
      <c r="S1842" s="1">
        <f t="shared" si="946"/>
        <v>1425380</v>
      </c>
      <c r="T1842" s="1">
        <v>150000</v>
      </c>
      <c r="U1842" s="1">
        <v>50000</v>
      </c>
      <c r="V1842" s="1">
        <v>0</v>
      </c>
      <c r="W1842" s="1">
        <v>50000</v>
      </c>
      <c r="X1842" s="1">
        <v>0</v>
      </c>
      <c r="Y1842" s="1">
        <v>0</v>
      </c>
      <c r="Z1842" s="1">
        <v>0</v>
      </c>
      <c r="AA1842" s="1">
        <v>0</v>
      </c>
      <c r="AB1842" s="1">
        <v>0</v>
      </c>
      <c r="AC1842" s="1">
        <v>0</v>
      </c>
      <c r="AD1842" s="1">
        <v>0</v>
      </c>
    </row>
    <row r="1843" spans="1:30" s="20" customFormat="1" ht="36" customHeight="1" x14ac:dyDescent="0.25">
      <c r="A1843" s="2">
        <f t="shared" si="947"/>
        <v>1785</v>
      </c>
      <c r="B1843" s="6">
        <f t="shared" si="950"/>
        <v>1785</v>
      </c>
      <c r="C1843" s="19" t="s">
        <v>1117</v>
      </c>
      <c r="D1843" s="4">
        <f t="shared" si="945"/>
        <v>6696148.5</v>
      </c>
      <c r="E1843" s="1">
        <f t="shared" si="948"/>
        <v>886143.5</v>
      </c>
      <c r="F1843" s="1">
        <f>804*533.5</f>
        <v>428934</v>
      </c>
      <c r="G1843" s="1">
        <v>0</v>
      </c>
      <c r="H1843" s="1">
        <f>390*533.5</f>
        <v>208065</v>
      </c>
      <c r="I1843" s="1">
        <v>0</v>
      </c>
      <c r="J1843" s="1">
        <f>467*533.5</f>
        <v>249144.5</v>
      </c>
      <c r="K1843" s="1">
        <v>0</v>
      </c>
      <c r="L1843" s="2">
        <v>0</v>
      </c>
      <c r="M1843" s="1">
        <v>0</v>
      </c>
      <c r="N1843" s="1">
        <v>533.5</v>
      </c>
      <c r="O1843" s="1">
        <f>N1843*7750</f>
        <v>4134625</v>
      </c>
      <c r="P1843" s="1">
        <v>0</v>
      </c>
      <c r="Q1843" s="1">
        <f t="shared" ref="Q1843:Q1848" si="951">P1843*1400</f>
        <v>0</v>
      </c>
      <c r="R1843" s="1">
        <v>380</v>
      </c>
      <c r="S1843" s="1">
        <f t="shared" si="946"/>
        <v>1425380</v>
      </c>
      <c r="T1843" s="1">
        <v>150000</v>
      </c>
      <c r="U1843" s="1">
        <v>50000</v>
      </c>
      <c r="V1843" s="1">
        <v>0</v>
      </c>
      <c r="W1843" s="1">
        <v>50000</v>
      </c>
      <c r="X1843" s="1">
        <v>0</v>
      </c>
      <c r="Y1843" s="1">
        <v>0</v>
      </c>
      <c r="Z1843" s="1">
        <v>0</v>
      </c>
      <c r="AA1843" s="1">
        <v>0</v>
      </c>
      <c r="AB1843" s="1">
        <v>0</v>
      </c>
      <c r="AC1843" s="1">
        <v>0</v>
      </c>
      <c r="AD1843" s="1">
        <v>0</v>
      </c>
    </row>
    <row r="1844" spans="1:30" s="20" customFormat="1" ht="36" customHeight="1" x14ac:dyDescent="0.25">
      <c r="A1844" s="2">
        <f t="shared" si="947"/>
        <v>1786</v>
      </c>
      <c r="B1844" s="6">
        <f t="shared" si="950"/>
        <v>1786</v>
      </c>
      <c r="C1844" s="19" t="s">
        <v>1118</v>
      </c>
      <c r="D1844" s="4">
        <f t="shared" si="945"/>
        <v>5554862.2000000002</v>
      </c>
      <c r="E1844" s="1">
        <f t="shared" si="948"/>
        <v>697952.2</v>
      </c>
      <c r="F1844" s="1">
        <f>804*420.2</f>
        <v>337840.8</v>
      </c>
      <c r="G1844" s="1">
        <v>0</v>
      </c>
      <c r="H1844" s="1">
        <f>390*420.2</f>
        <v>163878</v>
      </c>
      <c r="I1844" s="1">
        <v>0</v>
      </c>
      <c r="J1844" s="1">
        <f>467*420.2</f>
        <v>196233.4</v>
      </c>
      <c r="K1844" s="1">
        <v>0</v>
      </c>
      <c r="L1844" s="2">
        <v>0</v>
      </c>
      <c r="M1844" s="1">
        <v>0</v>
      </c>
      <c r="N1844" s="1">
        <v>420.2</v>
      </c>
      <c r="O1844" s="1">
        <f>N1844*7750</f>
        <v>3256550</v>
      </c>
      <c r="P1844" s="1">
        <v>0</v>
      </c>
      <c r="Q1844" s="1">
        <f t="shared" si="951"/>
        <v>0</v>
      </c>
      <c r="R1844" s="1">
        <v>360</v>
      </c>
      <c r="S1844" s="1">
        <f t="shared" si="946"/>
        <v>1350360</v>
      </c>
      <c r="T1844" s="1">
        <v>150000</v>
      </c>
      <c r="U1844" s="1">
        <v>50000</v>
      </c>
      <c r="V1844" s="1">
        <v>0</v>
      </c>
      <c r="W1844" s="1">
        <v>50000</v>
      </c>
      <c r="X1844" s="1">
        <v>0</v>
      </c>
      <c r="Y1844" s="1">
        <v>0</v>
      </c>
      <c r="Z1844" s="1">
        <v>0</v>
      </c>
      <c r="AA1844" s="1">
        <v>0</v>
      </c>
      <c r="AB1844" s="1">
        <v>0</v>
      </c>
      <c r="AC1844" s="1">
        <v>0</v>
      </c>
      <c r="AD1844" s="1">
        <v>0</v>
      </c>
    </row>
    <row r="1845" spans="1:30" s="20" customFormat="1" ht="36" customHeight="1" x14ac:dyDescent="0.25">
      <c r="A1845" s="2">
        <f t="shared" si="947"/>
        <v>1787</v>
      </c>
      <c r="B1845" s="6">
        <f t="shared" si="950"/>
        <v>1787</v>
      </c>
      <c r="C1845" s="19" t="s">
        <v>1119</v>
      </c>
      <c r="D1845" s="4">
        <f t="shared" si="945"/>
        <v>6985520.5</v>
      </c>
      <c r="E1845" s="1">
        <f t="shared" si="948"/>
        <v>810568</v>
      </c>
      <c r="F1845" s="1">
        <f>804*488</f>
        <v>392352</v>
      </c>
      <c r="G1845" s="1">
        <v>0</v>
      </c>
      <c r="H1845" s="1">
        <f>390*488</f>
        <v>190320</v>
      </c>
      <c r="I1845" s="1">
        <v>0</v>
      </c>
      <c r="J1845" s="1">
        <f>467*488</f>
        <v>227896</v>
      </c>
      <c r="K1845" s="1">
        <v>0</v>
      </c>
      <c r="L1845" s="2">
        <v>0</v>
      </c>
      <c r="M1845" s="1">
        <v>0</v>
      </c>
      <c r="N1845" s="1">
        <v>578.16999999999996</v>
      </c>
      <c r="O1845" s="1">
        <f>N1845*7750</f>
        <v>4480817.5</v>
      </c>
      <c r="P1845" s="1">
        <v>0</v>
      </c>
      <c r="Q1845" s="1">
        <f t="shared" si="951"/>
        <v>0</v>
      </c>
      <c r="R1845" s="1">
        <v>385</v>
      </c>
      <c r="S1845" s="1">
        <f t="shared" si="946"/>
        <v>1444135</v>
      </c>
      <c r="T1845" s="1">
        <v>150000</v>
      </c>
      <c r="U1845" s="1">
        <v>50000</v>
      </c>
      <c r="V1845" s="1">
        <v>0</v>
      </c>
      <c r="W1845" s="1">
        <v>50000</v>
      </c>
      <c r="X1845" s="1">
        <v>0</v>
      </c>
      <c r="Y1845" s="1">
        <v>0</v>
      </c>
      <c r="Z1845" s="1">
        <v>0</v>
      </c>
      <c r="AA1845" s="1">
        <v>0</v>
      </c>
      <c r="AB1845" s="1">
        <v>0</v>
      </c>
      <c r="AC1845" s="1">
        <v>0</v>
      </c>
      <c r="AD1845" s="1">
        <v>0</v>
      </c>
    </row>
    <row r="1846" spans="1:30" s="20" customFormat="1" ht="36" customHeight="1" x14ac:dyDescent="0.25">
      <c r="A1846" s="2">
        <f t="shared" si="947"/>
        <v>1788</v>
      </c>
      <c r="B1846" s="6">
        <f t="shared" si="950"/>
        <v>1788</v>
      </c>
      <c r="C1846" s="19" t="s">
        <v>1120</v>
      </c>
      <c r="D1846" s="4">
        <f t="shared" si="945"/>
        <v>2197973.94</v>
      </c>
      <c r="E1846" s="1">
        <f t="shared" si="948"/>
        <v>710143.94000000006</v>
      </c>
      <c r="F1846" s="1">
        <f>804*427.54</f>
        <v>343742.16000000003</v>
      </c>
      <c r="G1846" s="1">
        <v>0</v>
      </c>
      <c r="H1846" s="1">
        <f>390*427.54</f>
        <v>166740.6</v>
      </c>
      <c r="I1846" s="1">
        <v>0</v>
      </c>
      <c r="J1846" s="1">
        <f>467*427.54</f>
        <v>199661.18000000002</v>
      </c>
      <c r="K1846" s="1">
        <v>0</v>
      </c>
      <c r="L1846" s="2">
        <v>0</v>
      </c>
      <c r="M1846" s="1">
        <v>0</v>
      </c>
      <c r="N1846" s="1">
        <v>0</v>
      </c>
      <c r="O1846" s="1">
        <v>0</v>
      </c>
      <c r="P1846" s="1">
        <v>0</v>
      </c>
      <c r="Q1846" s="1">
        <f t="shared" si="951"/>
        <v>0</v>
      </c>
      <c r="R1846" s="1">
        <v>330</v>
      </c>
      <c r="S1846" s="1">
        <f t="shared" si="946"/>
        <v>1237830</v>
      </c>
      <c r="T1846" s="1">
        <v>150000</v>
      </c>
      <c r="U1846" s="1">
        <v>50000</v>
      </c>
      <c r="V1846" s="1">
        <v>0</v>
      </c>
      <c r="W1846" s="1">
        <v>50000</v>
      </c>
      <c r="X1846" s="1">
        <v>0</v>
      </c>
      <c r="Y1846" s="1">
        <v>0</v>
      </c>
      <c r="Z1846" s="1">
        <v>0</v>
      </c>
      <c r="AA1846" s="1">
        <v>0</v>
      </c>
      <c r="AB1846" s="1">
        <v>0</v>
      </c>
      <c r="AC1846" s="1">
        <v>0</v>
      </c>
      <c r="AD1846" s="1">
        <v>0</v>
      </c>
    </row>
    <row r="1847" spans="1:30" s="20" customFormat="1" ht="36" customHeight="1" x14ac:dyDescent="0.25">
      <c r="A1847" s="2">
        <f t="shared" si="947"/>
        <v>1789</v>
      </c>
      <c r="B1847" s="6">
        <f t="shared" si="950"/>
        <v>1789</v>
      </c>
      <c r="C1847" s="19" t="s">
        <v>1121</v>
      </c>
      <c r="D1847" s="4">
        <f t="shared" si="945"/>
        <v>9076997.5</v>
      </c>
      <c r="E1847" s="1">
        <f t="shared" si="948"/>
        <v>1299732.5</v>
      </c>
      <c r="F1847" s="1">
        <f>804*782.5</f>
        <v>629130</v>
      </c>
      <c r="G1847" s="1">
        <v>0</v>
      </c>
      <c r="H1847" s="1">
        <f>390*782.5</f>
        <v>305175</v>
      </c>
      <c r="I1847" s="1">
        <v>0</v>
      </c>
      <c r="J1847" s="1">
        <f>467*782.5</f>
        <v>365427.5</v>
      </c>
      <c r="K1847" s="1">
        <v>0</v>
      </c>
      <c r="L1847" s="2">
        <v>0</v>
      </c>
      <c r="M1847" s="1">
        <v>0</v>
      </c>
      <c r="N1847" s="1">
        <v>782.5</v>
      </c>
      <c r="O1847" s="1">
        <f>N1847*7750</f>
        <v>6064375</v>
      </c>
      <c r="P1847" s="1">
        <v>0</v>
      </c>
      <c r="Q1847" s="1">
        <f t="shared" si="951"/>
        <v>0</v>
      </c>
      <c r="R1847" s="1">
        <v>390</v>
      </c>
      <c r="S1847" s="1">
        <f t="shared" si="946"/>
        <v>1462890</v>
      </c>
      <c r="T1847" s="1">
        <v>150000</v>
      </c>
      <c r="U1847" s="1">
        <v>50000</v>
      </c>
      <c r="V1847" s="1">
        <v>0</v>
      </c>
      <c r="W1847" s="1">
        <v>50000</v>
      </c>
      <c r="X1847" s="1">
        <v>0</v>
      </c>
      <c r="Y1847" s="1">
        <v>0</v>
      </c>
      <c r="Z1847" s="1">
        <v>0</v>
      </c>
      <c r="AA1847" s="1">
        <v>0</v>
      </c>
      <c r="AB1847" s="1">
        <v>0</v>
      </c>
      <c r="AC1847" s="1">
        <v>0</v>
      </c>
      <c r="AD1847" s="1">
        <v>0</v>
      </c>
    </row>
    <row r="1848" spans="1:30" s="20" customFormat="1" ht="36" customHeight="1" x14ac:dyDescent="0.25">
      <c r="A1848" s="2">
        <f t="shared" si="947"/>
        <v>1790</v>
      </c>
      <c r="B1848" s="6">
        <f t="shared" si="950"/>
        <v>1790</v>
      </c>
      <c r="C1848" s="19" t="s">
        <v>1122</v>
      </c>
      <c r="D1848" s="4">
        <f t="shared" si="945"/>
        <v>5587800.7000000002</v>
      </c>
      <c r="E1848" s="1">
        <f t="shared" si="948"/>
        <v>703765.7</v>
      </c>
      <c r="F1848" s="1">
        <f>804*423.7</f>
        <v>340654.8</v>
      </c>
      <c r="G1848" s="1">
        <v>0</v>
      </c>
      <c r="H1848" s="1">
        <f>390*423.7</f>
        <v>165243</v>
      </c>
      <c r="I1848" s="1">
        <v>0</v>
      </c>
      <c r="J1848" s="1">
        <f>467*423.7</f>
        <v>197867.9</v>
      </c>
      <c r="K1848" s="1">
        <v>0</v>
      </c>
      <c r="L1848" s="2">
        <v>0</v>
      </c>
      <c r="M1848" s="1">
        <v>0</v>
      </c>
      <c r="N1848" s="1">
        <v>423.7</v>
      </c>
      <c r="O1848" s="1">
        <f>N1848*7750</f>
        <v>3283675</v>
      </c>
      <c r="P1848" s="1">
        <v>0</v>
      </c>
      <c r="Q1848" s="1">
        <f t="shared" si="951"/>
        <v>0</v>
      </c>
      <c r="R1848" s="1">
        <v>360</v>
      </c>
      <c r="S1848" s="1">
        <f t="shared" si="946"/>
        <v>1350360</v>
      </c>
      <c r="T1848" s="1">
        <v>150000</v>
      </c>
      <c r="U1848" s="1">
        <v>50000</v>
      </c>
      <c r="V1848" s="1">
        <v>0</v>
      </c>
      <c r="W1848" s="1">
        <v>50000</v>
      </c>
      <c r="X1848" s="1">
        <v>0</v>
      </c>
      <c r="Y1848" s="1">
        <v>0</v>
      </c>
      <c r="Z1848" s="1">
        <v>0</v>
      </c>
      <c r="AA1848" s="1">
        <v>0</v>
      </c>
      <c r="AB1848" s="1">
        <v>0</v>
      </c>
      <c r="AC1848" s="1">
        <v>0</v>
      </c>
      <c r="AD1848" s="1">
        <v>0</v>
      </c>
    </row>
    <row r="1849" spans="1:30" s="20" customFormat="1" ht="36" customHeight="1" x14ac:dyDescent="0.25">
      <c r="A1849" s="2">
        <f t="shared" si="947"/>
        <v>1791</v>
      </c>
      <c r="B1849" s="6">
        <f t="shared" si="950"/>
        <v>1791</v>
      </c>
      <c r="C1849" s="19" t="s">
        <v>1123</v>
      </c>
      <c r="D1849" s="4">
        <f t="shared" si="945"/>
        <v>287099.59999999998</v>
      </c>
      <c r="E1849" s="1">
        <f t="shared" si="948"/>
        <v>237099.59999999998</v>
      </c>
      <c r="F1849" s="1">
        <f>804*294.9</f>
        <v>237099.59999999998</v>
      </c>
      <c r="G1849" s="1">
        <v>0</v>
      </c>
      <c r="H1849" s="1">
        <v>0</v>
      </c>
      <c r="I1849" s="1">
        <v>0</v>
      </c>
      <c r="J1849" s="1">
        <v>0</v>
      </c>
      <c r="K1849" s="1">
        <v>0</v>
      </c>
      <c r="L1849" s="2">
        <v>0</v>
      </c>
      <c r="M1849" s="1">
        <v>0</v>
      </c>
      <c r="N1849" s="1">
        <v>0</v>
      </c>
      <c r="O1849" s="1">
        <v>0</v>
      </c>
      <c r="P1849" s="1">
        <v>0</v>
      </c>
      <c r="Q1849" s="1">
        <f t="shared" si="949"/>
        <v>0</v>
      </c>
      <c r="R1849" s="1">
        <v>0</v>
      </c>
      <c r="S1849" s="1">
        <f t="shared" si="946"/>
        <v>0</v>
      </c>
      <c r="T1849" s="1">
        <v>0</v>
      </c>
      <c r="U1849" s="1">
        <v>50000</v>
      </c>
      <c r="V1849" s="1">
        <v>0</v>
      </c>
      <c r="W1849" s="1">
        <v>0</v>
      </c>
      <c r="X1849" s="1">
        <v>0</v>
      </c>
      <c r="Y1849" s="1">
        <v>0</v>
      </c>
      <c r="Z1849" s="1">
        <v>0</v>
      </c>
      <c r="AA1849" s="1">
        <v>0</v>
      </c>
      <c r="AB1849" s="1">
        <v>0</v>
      </c>
      <c r="AC1849" s="1">
        <v>0</v>
      </c>
      <c r="AD1849" s="1">
        <v>0</v>
      </c>
    </row>
    <row r="1850" spans="1:30" s="20" customFormat="1" ht="36" customHeight="1" x14ac:dyDescent="0.25">
      <c r="A1850" s="2">
        <f t="shared" si="947"/>
        <v>1792</v>
      </c>
      <c r="B1850" s="6">
        <f>A1850</f>
        <v>1792</v>
      </c>
      <c r="C1850" s="19" t="s">
        <v>1651</v>
      </c>
      <c r="D1850" s="4">
        <f t="shared" si="945"/>
        <v>1955009.8</v>
      </c>
      <c r="E1850" s="1">
        <f t="shared" si="948"/>
        <v>479629.8</v>
      </c>
      <c r="F1850" s="1">
        <f>804*401.7</f>
        <v>322966.8</v>
      </c>
      <c r="G1850" s="1">
        <v>0</v>
      </c>
      <c r="H1850" s="1">
        <f>390*401.7</f>
        <v>156663</v>
      </c>
      <c r="I1850" s="1">
        <v>0</v>
      </c>
      <c r="J1850" s="1">
        <v>0</v>
      </c>
      <c r="K1850" s="1">
        <v>0</v>
      </c>
      <c r="L1850" s="2">
        <v>0</v>
      </c>
      <c r="M1850" s="1">
        <v>0</v>
      </c>
      <c r="N1850" s="1">
        <v>0</v>
      </c>
      <c r="O1850" s="1">
        <v>0</v>
      </c>
      <c r="P1850" s="1">
        <v>0</v>
      </c>
      <c r="Q1850" s="1">
        <f t="shared" si="949"/>
        <v>0</v>
      </c>
      <c r="R1850" s="1">
        <v>380</v>
      </c>
      <c r="S1850" s="1">
        <f t="shared" si="946"/>
        <v>1425380</v>
      </c>
      <c r="T1850" s="1">
        <v>0</v>
      </c>
      <c r="U1850" s="1">
        <v>50000</v>
      </c>
      <c r="V1850" s="1">
        <v>0</v>
      </c>
      <c r="W1850" s="1">
        <v>0</v>
      </c>
      <c r="X1850" s="1">
        <v>0</v>
      </c>
      <c r="Y1850" s="1">
        <v>0</v>
      </c>
      <c r="Z1850" s="1">
        <v>0</v>
      </c>
      <c r="AA1850" s="1">
        <v>0</v>
      </c>
      <c r="AB1850" s="1">
        <v>0</v>
      </c>
      <c r="AC1850" s="1">
        <v>0</v>
      </c>
      <c r="AD1850" s="1">
        <v>0</v>
      </c>
    </row>
    <row r="1851" spans="1:30" s="20" customFormat="1" ht="36" customHeight="1" x14ac:dyDescent="0.25">
      <c r="A1851" s="2">
        <f t="shared" si="947"/>
        <v>1793</v>
      </c>
      <c r="B1851" s="6">
        <f t="shared" si="950"/>
        <v>1793</v>
      </c>
      <c r="C1851" s="19" t="s">
        <v>1124</v>
      </c>
      <c r="D1851" s="4">
        <f t="shared" si="945"/>
        <v>3812075.9</v>
      </c>
      <c r="E1851" s="1">
        <f t="shared" si="948"/>
        <v>443320.89999999997</v>
      </c>
      <c r="F1851" s="1">
        <f>804*266.9</f>
        <v>214587.59999999998</v>
      </c>
      <c r="G1851" s="1">
        <v>0</v>
      </c>
      <c r="H1851" s="1">
        <f>390*266.9</f>
        <v>104090.99999999999</v>
      </c>
      <c r="I1851" s="1">
        <v>0</v>
      </c>
      <c r="J1851" s="1">
        <f>467*266.9</f>
        <v>124642.29999999999</v>
      </c>
      <c r="K1851" s="1">
        <v>0</v>
      </c>
      <c r="L1851" s="2">
        <v>0</v>
      </c>
      <c r="M1851" s="1">
        <v>0</v>
      </c>
      <c r="N1851" s="1">
        <v>266.89999999999998</v>
      </c>
      <c r="O1851" s="1">
        <f>N1851*7750</f>
        <v>2068474.9999999998</v>
      </c>
      <c r="P1851" s="1">
        <v>0</v>
      </c>
      <c r="Q1851" s="1">
        <f t="shared" si="949"/>
        <v>0</v>
      </c>
      <c r="R1851" s="1">
        <v>280</v>
      </c>
      <c r="S1851" s="1">
        <f t="shared" ref="S1851:S1860" si="952">R1851*3751</f>
        <v>1050280</v>
      </c>
      <c r="T1851" s="1">
        <v>150000</v>
      </c>
      <c r="U1851" s="1">
        <v>50000</v>
      </c>
      <c r="V1851" s="1">
        <v>0</v>
      </c>
      <c r="W1851" s="1">
        <v>50000</v>
      </c>
      <c r="X1851" s="1">
        <v>0</v>
      </c>
      <c r="Y1851" s="1">
        <v>0</v>
      </c>
      <c r="Z1851" s="1">
        <v>0</v>
      </c>
      <c r="AA1851" s="1">
        <v>0</v>
      </c>
      <c r="AB1851" s="1">
        <v>0</v>
      </c>
      <c r="AC1851" s="1">
        <v>0</v>
      </c>
      <c r="AD1851" s="1">
        <v>0</v>
      </c>
    </row>
    <row r="1852" spans="1:30" s="20" customFormat="1" ht="36" customHeight="1" x14ac:dyDescent="0.25">
      <c r="A1852" s="2">
        <f t="shared" si="947"/>
        <v>1794</v>
      </c>
      <c r="B1852" s="6">
        <f>A1852</f>
        <v>1794</v>
      </c>
      <c r="C1852" s="24" t="s">
        <v>1125</v>
      </c>
      <c r="D1852" s="4">
        <f t="shared" si="945"/>
        <v>7022756.2000000002</v>
      </c>
      <c r="E1852" s="1">
        <f t="shared" si="948"/>
        <v>495907.19999999995</v>
      </c>
      <c r="F1852" s="1">
        <f>804*616.8</f>
        <v>495907.19999999995</v>
      </c>
      <c r="G1852" s="1">
        <v>0</v>
      </c>
      <c r="H1852" s="1">
        <v>0</v>
      </c>
      <c r="I1852" s="1">
        <v>0</v>
      </c>
      <c r="J1852" s="1">
        <v>0</v>
      </c>
      <c r="K1852" s="1">
        <v>0</v>
      </c>
      <c r="L1852" s="2">
        <v>0</v>
      </c>
      <c r="M1852" s="1">
        <v>0</v>
      </c>
      <c r="N1852" s="1">
        <v>616.79999999999995</v>
      </c>
      <c r="O1852" s="1">
        <f>N1852*7750</f>
        <v>4780200</v>
      </c>
      <c r="P1852" s="1">
        <v>0</v>
      </c>
      <c r="Q1852" s="1">
        <f t="shared" si="949"/>
        <v>0</v>
      </c>
      <c r="R1852" s="1">
        <v>399</v>
      </c>
      <c r="S1852" s="1">
        <f t="shared" si="952"/>
        <v>1496649</v>
      </c>
      <c r="T1852" s="1">
        <v>150000</v>
      </c>
      <c r="U1852" s="1">
        <v>50000</v>
      </c>
      <c r="V1852" s="1">
        <v>0</v>
      </c>
      <c r="W1852" s="1">
        <v>50000</v>
      </c>
      <c r="X1852" s="1">
        <v>0</v>
      </c>
      <c r="Y1852" s="1">
        <v>0</v>
      </c>
      <c r="Z1852" s="1">
        <v>0</v>
      </c>
      <c r="AA1852" s="1">
        <v>0</v>
      </c>
      <c r="AB1852" s="1">
        <v>0</v>
      </c>
      <c r="AC1852" s="1">
        <v>0</v>
      </c>
      <c r="AD1852" s="1">
        <v>0</v>
      </c>
    </row>
    <row r="1853" spans="1:30" s="20" customFormat="1" ht="36" customHeight="1" x14ac:dyDescent="0.25">
      <c r="A1853" s="2">
        <f t="shared" si="947"/>
        <v>1795</v>
      </c>
      <c r="B1853" s="6">
        <f>A1853</f>
        <v>1795</v>
      </c>
      <c r="C1853" s="19" t="s">
        <v>1126</v>
      </c>
      <c r="D1853" s="4">
        <f t="shared" si="945"/>
        <v>2378765</v>
      </c>
      <c r="E1853" s="1">
        <f t="shared" si="948"/>
        <v>139092</v>
      </c>
      <c r="F1853" s="1">
        <f>804*173</f>
        <v>139092</v>
      </c>
      <c r="G1853" s="1">
        <v>0</v>
      </c>
      <c r="H1853" s="1">
        <v>0</v>
      </c>
      <c r="I1853" s="1">
        <v>0</v>
      </c>
      <c r="J1853" s="1">
        <v>0</v>
      </c>
      <c r="K1853" s="1">
        <v>0</v>
      </c>
      <c r="L1853" s="2">
        <v>0</v>
      </c>
      <c r="M1853" s="1">
        <v>0</v>
      </c>
      <c r="N1853" s="1">
        <v>173</v>
      </c>
      <c r="O1853" s="1">
        <f>N1853*7750</f>
        <v>1340750</v>
      </c>
      <c r="P1853" s="1">
        <v>0</v>
      </c>
      <c r="Q1853" s="1">
        <f>P1853*1400</f>
        <v>0</v>
      </c>
      <c r="R1853" s="1">
        <v>173</v>
      </c>
      <c r="S1853" s="1">
        <f t="shared" si="952"/>
        <v>648923</v>
      </c>
      <c r="T1853" s="1">
        <v>150000</v>
      </c>
      <c r="U1853" s="1">
        <v>50000</v>
      </c>
      <c r="V1853" s="1">
        <v>0</v>
      </c>
      <c r="W1853" s="1">
        <v>50000</v>
      </c>
      <c r="X1853" s="1">
        <v>0</v>
      </c>
      <c r="Y1853" s="1">
        <v>0</v>
      </c>
      <c r="Z1853" s="1">
        <v>0</v>
      </c>
      <c r="AA1853" s="1">
        <v>0</v>
      </c>
      <c r="AB1853" s="1">
        <v>0</v>
      </c>
      <c r="AC1853" s="1">
        <v>0</v>
      </c>
      <c r="AD1853" s="1">
        <v>0</v>
      </c>
    </row>
    <row r="1854" spans="1:30" s="20" customFormat="1" ht="36" customHeight="1" x14ac:dyDescent="0.25">
      <c r="A1854" s="2">
        <f t="shared" si="947"/>
        <v>1796</v>
      </c>
      <c r="B1854" s="6">
        <f>A1854</f>
        <v>1796</v>
      </c>
      <c r="C1854" s="19" t="s">
        <v>1127</v>
      </c>
      <c r="D1854" s="4">
        <f t="shared" si="945"/>
        <v>4853268.8</v>
      </c>
      <c r="E1854" s="1">
        <f t="shared" si="948"/>
        <v>323368.8</v>
      </c>
      <c r="F1854" s="1">
        <f>804*402.2</f>
        <v>323368.8</v>
      </c>
      <c r="G1854" s="1">
        <v>0</v>
      </c>
      <c r="H1854" s="1">
        <v>0</v>
      </c>
      <c r="I1854" s="1">
        <v>0</v>
      </c>
      <c r="J1854" s="1">
        <v>0</v>
      </c>
      <c r="K1854" s="1">
        <v>0</v>
      </c>
      <c r="L1854" s="2">
        <v>0</v>
      </c>
      <c r="M1854" s="1">
        <v>0</v>
      </c>
      <c r="N1854" s="1">
        <v>402.2</v>
      </c>
      <c r="O1854" s="1">
        <f>N1854*7750</f>
        <v>3117050</v>
      </c>
      <c r="P1854" s="1">
        <v>0</v>
      </c>
      <c r="Q1854" s="1">
        <f>P1854*1400</f>
        <v>0</v>
      </c>
      <c r="R1854" s="1">
        <v>350</v>
      </c>
      <c r="S1854" s="1">
        <f t="shared" si="952"/>
        <v>1312850</v>
      </c>
      <c r="T1854" s="1">
        <v>0</v>
      </c>
      <c r="U1854" s="1">
        <v>50000</v>
      </c>
      <c r="V1854" s="1">
        <v>0</v>
      </c>
      <c r="W1854" s="1">
        <v>50000</v>
      </c>
      <c r="X1854" s="1">
        <v>0</v>
      </c>
      <c r="Y1854" s="1">
        <v>0</v>
      </c>
      <c r="Z1854" s="1">
        <v>0</v>
      </c>
      <c r="AA1854" s="1">
        <v>0</v>
      </c>
      <c r="AB1854" s="1">
        <v>0</v>
      </c>
      <c r="AC1854" s="1">
        <v>0</v>
      </c>
      <c r="AD1854" s="1">
        <v>0</v>
      </c>
    </row>
    <row r="1855" spans="1:30" s="20" customFormat="1" ht="36" customHeight="1" x14ac:dyDescent="0.25">
      <c r="A1855" s="2">
        <f t="shared" si="947"/>
        <v>1797</v>
      </c>
      <c r="B1855" s="6">
        <f>A1855</f>
        <v>1797</v>
      </c>
      <c r="C1855" s="19" t="s">
        <v>1128</v>
      </c>
      <c r="D1855" s="4">
        <f t="shared" si="945"/>
        <v>1897833.2</v>
      </c>
      <c r="E1855" s="1">
        <f t="shared" si="948"/>
        <v>372493.2</v>
      </c>
      <c r="F1855" s="1">
        <f>804*463.3</f>
        <v>372493.2</v>
      </c>
      <c r="G1855" s="1">
        <v>0</v>
      </c>
      <c r="H1855" s="1">
        <v>0</v>
      </c>
      <c r="I1855" s="1">
        <v>0</v>
      </c>
      <c r="J1855" s="1">
        <v>0</v>
      </c>
      <c r="K1855" s="1">
        <v>0</v>
      </c>
      <c r="L1855" s="2">
        <v>0</v>
      </c>
      <c r="M1855" s="1">
        <v>0</v>
      </c>
      <c r="N1855" s="1">
        <v>0</v>
      </c>
      <c r="O1855" s="1">
        <v>0</v>
      </c>
      <c r="P1855" s="1">
        <v>0</v>
      </c>
      <c r="Q1855" s="1">
        <f>P1855*1400</f>
        <v>0</v>
      </c>
      <c r="R1855" s="1">
        <v>340</v>
      </c>
      <c r="S1855" s="1">
        <f t="shared" si="952"/>
        <v>1275340</v>
      </c>
      <c r="T1855" s="1">
        <v>150000</v>
      </c>
      <c r="U1855" s="1">
        <v>50000</v>
      </c>
      <c r="V1855" s="1">
        <v>0</v>
      </c>
      <c r="W1855" s="1">
        <v>50000</v>
      </c>
      <c r="X1855" s="1">
        <v>0</v>
      </c>
      <c r="Y1855" s="1">
        <v>0</v>
      </c>
      <c r="Z1855" s="1">
        <v>0</v>
      </c>
      <c r="AA1855" s="1">
        <v>0</v>
      </c>
      <c r="AB1855" s="1">
        <v>0</v>
      </c>
      <c r="AC1855" s="1">
        <v>0</v>
      </c>
      <c r="AD1855" s="1">
        <v>0</v>
      </c>
    </row>
    <row r="1856" spans="1:30" s="20" customFormat="1" ht="54.95" customHeight="1" x14ac:dyDescent="0.25">
      <c r="A1856" s="3"/>
      <c r="B1856" s="47" t="s">
        <v>1985</v>
      </c>
      <c r="C1856" s="48"/>
      <c r="D1856" s="4">
        <f>SUM(D1857:D1861)</f>
        <v>19977921.379999999</v>
      </c>
      <c r="E1856" s="4">
        <f t="shared" ref="E1856:AD1856" si="953">SUM(E1857:E1861)</f>
        <v>3465115.8600000003</v>
      </c>
      <c r="F1856" s="4">
        <f t="shared" si="953"/>
        <v>1464156.3599999999</v>
      </c>
      <c r="G1856" s="4">
        <f t="shared" si="953"/>
        <v>1328480.1700000002</v>
      </c>
      <c r="H1856" s="4">
        <f t="shared" si="953"/>
        <v>306029.10000000003</v>
      </c>
      <c r="I1856" s="4">
        <f t="shared" si="953"/>
        <v>0</v>
      </c>
      <c r="J1856" s="4">
        <f t="shared" si="953"/>
        <v>366450.23000000004</v>
      </c>
      <c r="K1856" s="4">
        <f t="shared" si="953"/>
        <v>0</v>
      </c>
      <c r="L1856" s="17">
        <f t="shared" si="953"/>
        <v>0</v>
      </c>
      <c r="M1856" s="4">
        <f t="shared" si="953"/>
        <v>0</v>
      </c>
      <c r="N1856" s="4">
        <f t="shared" si="953"/>
        <v>1302</v>
      </c>
      <c r="O1856" s="4">
        <f t="shared" si="953"/>
        <v>10090500</v>
      </c>
      <c r="P1856" s="4">
        <f t="shared" si="953"/>
        <v>0</v>
      </c>
      <c r="Q1856" s="4">
        <f t="shared" si="953"/>
        <v>0</v>
      </c>
      <c r="R1856" s="4">
        <f t="shared" si="953"/>
        <v>1605.52</v>
      </c>
      <c r="S1856" s="4">
        <f t="shared" si="953"/>
        <v>6022305.5199999996</v>
      </c>
      <c r="T1856" s="4">
        <f t="shared" si="953"/>
        <v>0</v>
      </c>
      <c r="U1856" s="4">
        <f t="shared" si="953"/>
        <v>200000</v>
      </c>
      <c r="V1856" s="4">
        <f t="shared" si="953"/>
        <v>0</v>
      </c>
      <c r="W1856" s="4">
        <f t="shared" si="953"/>
        <v>200000</v>
      </c>
      <c r="X1856" s="4">
        <f t="shared" si="953"/>
        <v>0</v>
      </c>
      <c r="Y1856" s="4">
        <f t="shared" si="953"/>
        <v>0</v>
      </c>
      <c r="Z1856" s="4">
        <f t="shared" si="953"/>
        <v>0</v>
      </c>
      <c r="AA1856" s="4">
        <f t="shared" si="953"/>
        <v>0</v>
      </c>
      <c r="AB1856" s="4">
        <f t="shared" si="953"/>
        <v>0</v>
      </c>
      <c r="AC1856" s="4">
        <f t="shared" si="953"/>
        <v>0</v>
      </c>
      <c r="AD1856" s="4">
        <f t="shared" si="953"/>
        <v>0</v>
      </c>
    </row>
    <row r="1857" spans="1:30" s="20" customFormat="1" ht="36" customHeight="1" x14ac:dyDescent="0.25">
      <c r="A1857" s="2">
        <f>ROW()-ROW($A$11)-48</f>
        <v>1798</v>
      </c>
      <c r="B1857" s="6">
        <f>A1857</f>
        <v>1798</v>
      </c>
      <c r="C1857" s="34" t="s">
        <v>1129</v>
      </c>
      <c r="D1857" s="4">
        <f>E1857+M1857+O1857+Q1857+S1857+T1857+U1857+V1857+W1857+X1857+Z1857+AA1857+AB1857+AC1857+AD1857</f>
        <v>3317856</v>
      </c>
      <c r="E1857" s="1">
        <f>SUM(F1857:K1857)</f>
        <v>276576</v>
      </c>
      <c r="F1857" s="1">
        <f>804*344</f>
        <v>276576</v>
      </c>
      <c r="G1857" s="1">
        <v>0</v>
      </c>
      <c r="H1857" s="1">
        <v>0</v>
      </c>
      <c r="I1857" s="1">
        <v>0</v>
      </c>
      <c r="J1857" s="1">
        <v>0</v>
      </c>
      <c r="K1857" s="1">
        <v>0</v>
      </c>
      <c r="L1857" s="2">
        <v>0</v>
      </c>
      <c r="M1857" s="1">
        <v>0</v>
      </c>
      <c r="N1857" s="1">
        <v>244</v>
      </c>
      <c r="O1857" s="1">
        <f>N1857*7750</f>
        <v>1891000</v>
      </c>
      <c r="P1857" s="1">
        <v>0</v>
      </c>
      <c r="Q1857" s="1">
        <f>P1857*1400</f>
        <v>0</v>
      </c>
      <c r="R1857" s="1">
        <v>280</v>
      </c>
      <c r="S1857" s="1">
        <f t="shared" si="952"/>
        <v>1050280</v>
      </c>
      <c r="T1857" s="1">
        <v>0</v>
      </c>
      <c r="U1857" s="1">
        <v>50000</v>
      </c>
      <c r="V1857" s="1">
        <v>0</v>
      </c>
      <c r="W1857" s="1">
        <v>50000</v>
      </c>
      <c r="X1857" s="1">
        <v>0</v>
      </c>
      <c r="Y1857" s="1">
        <v>0</v>
      </c>
      <c r="Z1857" s="1">
        <v>0</v>
      </c>
      <c r="AA1857" s="1">
        <v>0</v>
      </c>
      <c r="AB1857" s="1">
        <v>0</v>
      </c>
      <c r="AC1857" s="1">
        <v>0</v>
      </c>
      <c r="AD1857" s="1">
        <v>0</v>
      </c>
    </row>
    <row r="1858" spans="1:30" s="20" customFormat="1" ht="36" customHeight="1" x14ac:dyDescent="0.25">
      <c r="A1858" s="2">
        <f t="shared" ref="A1858:A1861" si="954">ROW()-ROW($A$11)-48</f>
        <v>1799</v>
      </c>
      <c r="B1858" s="6">
        <f>A1858</f>
        <v>1799</v>
      </c>
      <c r="C1858" s="34" t="s">
        <v>1130</v>
      </c>
      <c r="D1858" s="4">
        <f>E1858+M1858+O1858+Q1858+S1858+T1858+U1858+V1858+W1858+X1858+Z1858+AA1858+AB1858+AC1858+AD1858</f>
        <v>3326410</v>
      </c>
      <c r="E1858" s="1">
        <f>SUM(F1858:K1858)</f>
        <v>277380</v>
      </c>
      <c r="F1858" s="1">
        <f>804*345</f>
        <v>277380</v>
      </c>
      <c r="G1858" s="1">
        <v>0</v>
      </c>
      <c r="H1858" s="1">
        <v>0</v>
      </c>
      <c r="I1858" s="1">
        <v>0</v>
      </c>
      <c r="J1858" s="1">
        <v>0</v>
      </c>
      <c r="K1858" s="1">
        <v>0</v>
      </c>
      <c r="L1858" s="2">
        <v>0</v>
      </c>
      <c r="M1858" s="1">
        <v>0</v>
      </c>
      <c r="N1858" s="1">
        <v>245</v>
      </c>
      <c r="O1858" s="1">
        <f>N1858*7750</f>
        <v>1898750</v>
      </c>
      <c r="P1858" s="1">
        <v>0</v>
      </c>
      <c r="Q1858" s="1">
        <f>P1858*1400</f>
        <v>0</v>
      </c>
      <c r="R1858" s="1">
        <v>280</v>
      </c>
      <c r="S1858" s="1">
        <f t="shared" si="952"/>
        <v>1050280</v>
      </c>
      <c r="T1858" s="1">
        <v>0</v>
      </c>
      <c r="U1858" s="1">
        <v>50000</v>
      </c>
      <c r="V1858" s="1">
        <v>0</v>
      </c>
      <c r="W1858" s="1">
        <v>50000</v>
      </c>
      <c r="X1858" s="1">
        <v>0</v>
      </c>
      <c r="Y1858" s="1">
        <v>0</v>
      </c>
      <c r="Z1858" s="1">
        <v>0</v>
      </c>
      <c r="AA1858" s="1">
        <v>0</v>
      </c>
      <c r="AB1858" s="1">
        <v>0</v>
      </c>
      <c r="AC1858" s="1">
        <v>0</v>
      </c>
      <c r="AD1858" s="1">
        <v>0</v>
      </c>
    </row>
    <row r="1859" spans="1:30" s="20" customFormat="1" ht="36" customHeight="1" x14ac:dyDescent="0.25">
      <c r="A1859" s="2">
        <f t="shared" si="954"/>
        <v>1800</v>
      </c>
      <c r="B1859" s="6">
        <f>A1859</f>
        <v>1800</v>
      </c>
      <c r="C1859" s="19" t="s">
        <v>1131</v>
      </c>
      <c r="D1859" s="4">
        <f>E1859+M1859+O1859+Q1859+S1859+T1859+U1859+V1859+W1859+X1859+Z1859+AA1859+AB1859+AC1859+AD1859</f>
        <v>3235339.6</v>
      </c>
      <c r="E1859" s="1">
        <f>SUM(F1859:K1859)</f>
        <v>279309.59999999998</v>
      </c>
      <c r="F1859" s="1">
        <f>804*347.4</f>
        <v>279309.59999999998</v>
      </c>
      <c r="G1859" s="1">
        <v>0</v>
      </c>
      <c r="H1859" s="1">
        <v>0</v>
      </c>
      <c r="I1859" s="1">
        <v>0</v>
      </c>
      <c r="J1859" s="1">
        <v>0</v>
      </c>
      <c r="K1859" s="1">
        <v>0</v>
      </c>
      <c r="L1859" s="2">
        <v>0</v>
      </c>
      <c r="M1859" s="1">
        <v>0</v>
      </c>
      <c r="N1859" s="1">
        <v>233</v>
      </c>
      <c r="O1859" s="1">
        <f>N1859*7750</f>
        <v>1805750</v>
      </c>
      <c r="P1859" s="1">
        <v>0</v>
      </c>
      <c r="Q1859" s="1">
        <f>P1859*1400</f>
        <v>0</v>
      </c>
      <c r="R1859" s="1">
        <v>280</v>
      </c>
      <c r="S1859" s="1">
        <f t="shared" si="952"/>
        <v>1050280</v>
      </c>
      <c r="T1859" s="1">
        <v>0</v>
      </c>
      <c r="U1859" s="1">
        <v>50000</v>
      </c>
      <c r="V1859" s="1">
        <v>0</v>
      </c>
      <c r="W1859" s="1">
        <v>50000</v>
      </c>
      <c r="X1859" s="1">
        <v>0</v>
      </c>
      <c r="Y1859" s="1">
        <v>0</v>
      </c>
      <c r="Z1859" s="1">
        <v>0</v>
      </c>
      <c r="AA1859" s="1">
        <v>0</v>
      </c>
      <c r="AB1859" s="1">
        <v>0</v>
      </c>
      <c r="AC1859" s="1">
        <v>0</v>
      </c>
      <c r="AD1859" s="1">
        <v>0</v>
      </c>
    </row>
    <row r="1860" spans="1:30" s="20" customFormat="1" ht="36" customHeight="1" x14ac:dyDescent="0.25">
      <c r="A1860" s="2">
        <f t="shared" si="954"/>
        <v>1801</v>
      </c>
      <c r="B1860" s="6">
        <f>A1860</f>
        <v>1801</v>
      </c>
      <c r="C1860" s="19" t="s">
        <v>1132</v>
      </c>
      <c r="D1860" s="4">
        <f>E1860+M1860+O1860+Q1860+S1860+T1860+U1860+V1860+W1860+X1860+Z1860+AA1860+AB1860+AC1860+AD1860</f>
        <v>8539700.2599999998</v>
      </c>
      <c r="E1860" s="1">
        <f>SUM(F1860:K1860)</f>
        <v>2631850.2600000002</v>
      </c>
      <c r="F1860" s="1">
        <f>804*784.69</f>
        <v>630890.76</v>
      </c>
      <c r="G1860" s="1">
        <f>1693*784.69</f>
        <v>1328480.1700000002</v>
      </c>
      <c r="H1860" s="1">
        <f>390*784.69</f>
        <v>306029.10000000003</v>
      </c>
      <c r="I1860" s="1">
        <v>0</v>
      </c>
      <c r="J1860" s="1">
        <f>467*784.69</f>
        <v>366450.23000000004</v>
      </c>
      <c r="K1860" s="1">
        <v>0</v>
      </c>
      <c r="L1860" s="2">
        <v>0</v>
      </c>
      <c r="M1860" s="1">
        <v>0</v>
      </c>
      <c r="N1860" s="1">
        <v>580</v>
      </c>
      <c r="O1860" s="1">
        <f>N1860*7750</f>
        <v>4495000</v>
      </c>
      <c r="P1860" s="1">
        <v>0</v>
      </c>
      <c r="Q1860" s="1">
        <f>P1860*1400</f>
        <v>0</v>
      </c>
      <c r="R1860" s="1">
        <v>350</v>
      </c>
      <c r="S1860" s="1">
        <f t="shared" si="952"/>
        <v>1312850</v>
      </c>
      <c r="T1860" s="1">
        <v>0</v>
      </c>
      <c r="U1860" s="1">
        <v>50000</v>
      </c>
      <c r="V1860" s="1">
        <v>0</v>
      </c>
      <c r="W1860" s="1">
        <v>50000</v>
      </c>
      <c r="X1860" s="1">
        <v>0</v>
      </c>
      <c r="Y1860" s="1">
        <v>0</v>
      </c>
      <c r="Z1860" s="1">
        <v>0</v>
      </c>
      <c r="AA1860" s="1">
        <v>0</v>
      </c>
      <c r="AB1860" s="1">
        <v>0</v>
      </c>
      <c r="AC1860" s="1">
        <v>0</v>
      </c>
      <c r="AD1860" s="1">
        <v>0</v>
      </c>
    </row>
    <row r="1861" spans="1:30" s="20" customFormat="1" ht="36" customHeight="1" x14ac:dyDescent="0.25">
      <c r="A1861" s="2">
        <f t="shared" si="954"/>
        <v>1802</v>
      </c>
      <c r="B1861" s="6">
        <f>A1861</f>
        <v>1802</v>
      </c>
      <c r="C1861" s="19" t="s">
        <v>1133</v>
      </c>
      <c r="D1861" s="4">
        <f>E1861+M1861+O1861+Q1861+S1861+T1861+U1861+V1861+W1861+X1861+Z1861+AA1861+AB1861+AC1861+AD1861</f>
        <v>1558615.52</v>
      </c>
      <c r="E1861" s="1">
        <f>SUM(F1861:K1861)</f>
        <v>0</v>
      </c>
      <c r="F1861" s="1">
        <v>0</v>
      </c>
      <c r="G1861" s="1">
        <v>0</v>
      </c>
      <c r="H1861" s="1">
        <v>0</v>
      </c>
      <c r="I1861" s="1">
        <v>0</v>
      </c>
      <c r="J1861" s="1">
        <v>0</v>
      </c>
      <c r="K1861" s="1">
        <v>0</v>
      </c>
      <c r="L1861" s="2">
        <v>0</v>
      </c>
      <c r="M1861" s="1">
        <v>0</v>
      </c>
      <c r="N1861" s="1">
        <v>0</v>
      </c>
      <c r="O1861" s="1">
        <v>0</v>
      </c>
      <c r="P1861" s="1">
        <v>0</v>
      </c>
      <c r="Q1861" s="1">
        <f>P1861*1400</f>
        <v>0</v>
      </c>
      <c r="R1861" s="1">
        <v>415.52</v>
      </c>
      <c r="S1861" s="1">
        <f>R1861*3751</f>
        <v>1558615.52</v>
      </c>
      <c r="T1861" s="1">
        <v>0</v>
      </c>
      <c r="U1861" s="1">
        <v>0</v>
      </c>
      <c r="V1861" s="1">
        <v>0</v>
      </c>
      <c r="W1861" s="1">
        <v>0</v>
      </c>
      <c r="X1861" s="1">
        <v>0</v>
      </c>
      <c r="Y1861" s="1">
        <v>0</v>
      </c>
      <c r="Z1861" s="1">
        <v>0</v>
      </c>
      <c r="AA1861" s="1">
        <v>0</v>
      </c>
      <c r="AB1861" s="1">
        <v>0</v>
      </c>
      <c r="AC1861" s="1">
        <v>0</v>
      </c>
      <c r="AD1861" s="1">
        <v>0</v>
      </c>
    </row>
    <row r="1862" spans="1:30" s="20" customFormat="1" ht="54.95" customHeight="1" x14ac:dyDescent="0.25">
      <c r="A1862" s="3"/>
      <c r="B1862" s="47" t="s">
        <v>1986</v>
      </c>
      <c r="C1862" s="48"/>
      <c r="D1862" s="4">
        <f>SUM(D1863:D1864)</f>
        <v>12489235.299999999</v>
      </c>
      <c r="E1862" s="4">
        <f t="shared" ref="E1862:AD1862" si="955">SUM(E1863:E1864)</f>
        <v>2965383.3</v>
      </c>
      <c r="F1862" s="4">
        <f t="shared" si="955"/>
        <v>1435381.2000000002</v>
      </c>
      <c r="G1862" s="4">
        <f t="shared" si="955"/>
        <v>0</v>
      </c>
      <c r="H1862" s="4">
        <f t="shared" si="955"/>
        <v>696267</v>
      </c>
      <c r="I1862" s="4">
        <f t="shared" si="955"/>
        <v>0</v>
      </c>
      <c r="J1862" s="4">
        <f t="shared" si="955"/>
        <v>833735.10000000009</v>
      </c>
      <c r="K1862" s="4">
        <f t="shared" si="955"/>
        <v>0</v>
      </c>
      <c r="L1862" s="17">
        <f t="shared" si="955"/>
        <v>0</v>
      </c>
      <c r="M1862" s="4">
        <f t="shared" si="955"/>
        <v>0</v>
      </c>
      <c r="N1862" s="4">
        <f t="shared" si="955"/>
        <v>631</v>
      </c>
      <c r="O1862" s="4">
        <f t="shared" si="955"/>
        <v>4890250</v>
      </c>
      <c r="P1862" s="4">
        <f t="shared" si="955"/>
        <v>0</v>
      </c>
      <c r="Q1862" s="4">
        <f t="shared" si="955"/>
        <v>0</v>
      </c>
      <c r="R1862" s="4">
        <f t="shared" si="955"/>
        <v>1102</v>
      </c>
      <c r="S1862" s="4">
        <f t="shared" si="955"/>
        <v>4133602</v>
      </c>
      <c r="T1862" s="4">
        <f t="shared" si="955"/>
        <v>300000</v>
      </c>
      <c r="U1862" s="4">
        <f t="shared" si="955"/>
        <v>100000</v>
      </c>
      <c r="V1862" s="4">
        <f t="shared" si="955"/>
        <v>0</v>
      </c>
      <c r="W1862" s="4">
        <f t="shared" si="955"/>
        <v>100000</v>
      </c>
      <c r="X1862" s="4">
        <f t="shared" si="955"/>
        <v>0</v>
      </c>
      <c r="Y1862" s="4">
        <f t="shared" si="955"/>
        <v>0</v>
      </c>
      <c r="Z1862" s="4">
        <f t="shared" si="955"/>
        <v>0</v>
      </c>
      <c r="AA1862" s="4">
        <f t="shared" si="955"/>
        <v>0</v>
      </c>
      <c r="AB1862" s="4">
        <f t="shared" si="955"/>
        <v>0</v>
      </c>
      <c r="AC1862" s="4">
        <f t="shared" si="955"/>
        <v>0</v>
      </c>
      <c r="AD1862" s="4">
        <f t="shared" si="955"/>
        <v>0</v>
      </c>
    </row>
    <row r="1863" spans="1:30" s="20" customFormat="1" ht="36" customHeight="1" x14ac:dyDescent="0.25">
      <c r="A1863" s="2">
        <f>ROW()-ROW($A$11)-48</f>
        <v>1804</v>
      </c>
      <c r="B1863" s="6">
        <f>A1863</f>
        <v>1804</v>
      </c>
      <c r="C1863" s="19" t="s">
        <v>2528</v>
      </c>
      <c r="D1863" s="4">
        <f>E1863+M1863+O1863+Q1863+S1863+T1863+U1863+V1863+W1863+X1863+Z1863+AA1863+AB1863+AC1863+AD1863</f>
        <v>3962297.5999999996</v>
      </c>
      <c r="E1863" s="1">
        <f>SUM(F1863:K1863)</f>
        <v>1615488.5999999999</v>
      </c>
      <c r="F1863" s="1">
        <f>804*972.6</f>
        <v>781970.4</v>
      </c>
      <c r="G1863" s="1">
        <v>0</v>
      </c>
      <c r="H1863" s="1">
        <f>390*972.6</f>
        <v>379314</v>
      </c>
      <c r="I1863" s="1">
        <v>0</v>
      </c>
      <c r="J1863" s="1">
        <f>467*972.6</f>
        <v>454204.2</v>
      </c>
      <c r="K1863" s="1">
        <v>0</v>
      </c>
      <c r="L1863" s="2">
        <v>0</v>
      </c>
      <c r="M1863" s="1">
        <v>0</v>
      </c>
      <c r="N1863" s="1">
        <v>0</v>
      </c>
      <c r="O1863" s="1">
        <v>0</v>
      </c>
      <c r="P1863" s="1">
        <v>0</v>
      </c>
      <c r="Q1863" s="1">
        <f>P1863*1400</f>
        <v>0</v>
      </c>
      <c r="R1863" s="1">
        <v>559</v>
      </c>
      <c r="S1863" s="1">
        <f>R1863*3751</f>
        <v>2096809</v>
      </c>
      <c r="T1863" s="1">
        <v>150000</v>
      </c>
      <c r="U1863" s="1">
        <v>50000</v>
      </c>
      <c r="V1863" s="1">
        <v>0</v>
      </c>
      <c r="W1863" s="1">
        <v>50000</v>
      </c>
      <c r="X1863" s="1">
        <v>0</v>
      </c>
      <c r="Y1863" s="1">
        <v>0</v>
      </c>
      <c r="Z1863" s="1">
        <v>0</v>
      </c>
      <c r="AA1863" s="1">
        <v>0</v>
      </c>
      <c r="AB1863" s="1">
        <v>0</v>
      </c>
      <c r="AC1863" s="1">
        <v>0</v>
      </c>
      <c r="AD1863" s="1">
        <v>0</v>
      </c>
    </row>
    <row r="1864" spans="1:30" s="20" customFormat="1" ht="36" customHeight="1" x14ac:dyDescent="0.25">
      <c r="A1864" s="2">
        <f>ROW()-ROW($A$11)-48</f>
        <v>1805</v>
      </c>
      <c r="B1864" s="6">
        <f>A1864</f>
        <v>1805</v>
      </c>
      <c r="C1864" s="19" t="s">
        <v>1134</v>
      </c>
      <c r="D1864" s="4">
        <f>E1864+M1864+O1864+Q1864+S1864+T1864+U1864+V1864+W1864+X1864+Z1864+AA1864+AB1864+AC1864+AD1864</f>
        <v>8526937.6999999993</v>
      </c>
      <c r="E1864" s="1">
        <f>SUM(F1864:K1864)</f>
        <v>1349894.7000000002</v>
      </c>
      <c r="F1864" s="1">
        <f>804*812.7</f>
        <v>653410.80000000005</v>
      </c>
      <c r="G1864" s="1">
        <v>0</v>
      </c>
      <c r="H1864" s="1">
        <f>390*812.7</f>
        <v>316953</v>
      </c>
      <c r="I1864" s="1">
        <v>0</v>
      </c>
      <c r="J1864" s="1">
        <f>467*812.7</f>
        <v>379530.9</v>
      </c>
      <c r="K1864" s="1">
        <v>0</v>
      </c>
      <c r="L1864" s="2">
        <v>0</v>
      </c>
      <c r="M1864" s="1">
        <v>0</v>
      </c>
      <c r="N1864" s="1">
        <v>631</v>
      </c>
      <c r="O1864" s="1">
        <f>N1864*7750</f>
        <v>4890250</v>
      </c>
      <c r="P1864" s="1">
        <v>0</v>
      </c>
      <c r="Q1864" s="1">
        <f>P1864*1400</f>
        <v>0</v>
      </c>
      <c r="R1864" s="1">
        <v>543</v>
      </c>
      <c r="S1864" s="1">
        <f>R1864*3751</f>
        <v>2036793</v>
      </c>
      <c r="T1864" s="1">
        <v>150000</v>
      </c>
      <c r="U1864" s="1">
        <v>50000</v>
      </c>
      <c r="V1864" s="1">
        <v>0</v>
      </c>
      <c r="W1864" s="1">
        <v>50000</v>
      </c>
      <c r="X1864" s="1">
        <v>0</v>
      </c>
      <c r="Y1864" s="1">
        <v>0</v>
      </c>
      <c r="Z1864" s="1">
        <v>0</v>
      </c>
      <c r="AA1864" s="1">
        <v>0</v>
      </c>
      <c r="AB1864" s="1">
        <v>0</v>
      </c>
      <c r="AC1864" s="1">
        <v>0</v>
      </c>
      <c r="AD1864" s="1">
        <v>0</v>
      </c>
    </row>
    <row r="1865" spans="1:30" s="20" customFormat="1" ht="54.95" customHeight="1" x14ac:dyDescent="0.25">
      <c r="A1865" s="3"/>
      <c r="B1865" s="47" t="s">
        <v>1987</v>
      </c>
      <c r="C1865" s="48"/>
      <c r="D1865" s="4">
        <f>SUM(D1866:D1868)</f>
        <v>8132128</v>
      </c>
      <c r="E1865" s="4">
        <f t="shared" ref="E1865:AD1865" si="956">SUM(E1866:E1868)</f>
        <v>0</v>
      </c>
      <c r="F1865" s="4">
        <f t="shared" si="956"/>
        <v>0</v>
      </c>
      <c r="G1865" s="4">
        <f t="shared" si="956"/>
        <v>0</v>
      </c>
      <c r="H1865" s="4">
        <f t="shared" si="956"/>
        <v>0</v>
      </c>
      <c r="I1865" s="4">
        <f t="shared" si="956"/>
        <v>0</v>
      </c>
      <c r="J1865" s="4">
        <f t="shared" si="956"/>
        <v>0</v>
      </c>
      <c r="K1865" s="4">
        <f t="shared" si="956"/>
        <v>0</v>
      </c>
      <c r="L1865" s="17">
        <f t="shared" si="956"/>
        <v>0</v>
      </c>
      <c r="M1865" s="4">
        <f t="shared" si="956"/>
        <v>0</v>
      </c>
      <c r="N1865" s="4">
        <f t="shared" si="956"/>
        <v>0</v>
      </c>
      <c r="O1865" s="4">
        <f t="shared" si="956"/>
        <v>0</v>
      </c>
      <c r="P1865" s="4">
        <f t="shared" si="956"/>
        <v>0</v>
      </c>
      <c r="Q1865" s="4">
        <f t="shared" si="956"/>
        <v>0</v>
      </c>
      <c r="R1865" s="4">
        <f t="shared" si="956"/>
        <v>2128</v>
      </c>
      <c r="S1865" s="4">
        <f t="shared" si="956"/>
        <v>7982128</v>
      </c>
      <c r="T1865" s="4">
        <f t="shared" si="956"/>
        <v>0</v>
      </c>
      <c r="U1865" s="4">
        <f t="shared" si="956"/>
        <v>0</v>
      </c>
      <c r="V1865" s="4">
        <f t="shared" si="956"/>
        <v>0</v>
      </c>
      <c r="W1865" s="4">
        <f t="shared" si="956"/>
        <v>150000</v>
      </c>
      <c r="X1865" s="4">
        <f t="shared" si="956"/>
        <v>0</v>
      </c>
      <c r="Y1865" s="4">
        <f t="shared" si="956"/>
        <v>0</v>
      </c>
      <c r="Z1865" s="4">
        <f t="shared" si="956"/>
        <v>0</v>
      </c>
      <c r="AA1865" s="4">
        <f t="shared" si="956"/>
        <v>0</v>
      </c>
      <c r="AB1865" s="4">
        <f t="shared" si="956"/>
        <v>0</v>
      </c>
      <c r="AC1865" s="4">
        <f t="shared" si="956"/>
        <v>0</v>
      </c>
      <c r="AD1865" s="4">
        <f t="shared" si="956"/>
        <v>0</v>
      </c>
    </row>
    <row r="1866" spans="1:30" s="20" customFormat="1" ht="36" customHeight="1" x14ac:dyDescent="0.25">
      <c r="A1866" s="2">
        <f>ROW()-ROW($A$11)-49</f>
        <v>1806</v>
      </c>
      <c r="B1866" s="6">
        <f>A1866</f>
        <v>1806</v>
      </c>
      <c r="C1866" s="19" t="s">
        <v>1135</v>
      </c>
      <c r="D1866" s="4">
        <f>E1866+M1866+O1866+Q1866+S1866+T1866+U1866+V1866+W1866+X1866+Z1866+AA1866+AB1866+AC1866+AD1866</f>
        <v>2255588</v>
      </c>
      <c r="E1866" s="1">
        <f>SUM(F1866:K1866)</f>
        <v>0</v>
      </c>
      <c r="F1866" s="1">
        <v>0</v>
      </c>
      <c r="G1866" s="1">
        <v>0</v>
      </c>
      <c r="H1866" s="1">
        <v>0</v>
      </c>
      <c r="I1866" s="1">
        <v>0</v>
      </c>
      <c r="J1866" s="1">
        <v>0</v>
      </c>
      <c r="K1866" s="1">
        <v>0</v>
      </c>
      <c r="L1866" s="2">
        <v>0</v>
      </c>
      <c r="M1866" s="1">
        <v>0</v>
      </c>
      <c r="N1866" s="1">
        <v>0</v>
      </c>
      <c r="O1866" s="1">
        <v>0</v>
      </c>
      <c r="P1866" s="1">
        <v>0</v>
      </c>
      <c r="Q1866" s="1">
        <f>P1866*1400</f>
        <v>0</v>
      </c>
      <c r="R1866" s="1">
        <v>588</v>
      </c>
      <c r="S1866" s="1">
        <f>R1866*3751</f>
        <v>2205588</v>
      </c>
      <c r="T1866" s="1">
        <v>0</v>
      </c>
      <c r="U1866" s="1">
        <v>0</v>
      </c>
      <c r="V1866" s="1">
        <v>0</v>
      </c>
      <c r="W1866" s="1">
        <v>50000</v>
      </c>
      <c r="X1866" s="1">
        <v>0</v>
      </c>
      <c r="Y1866" s="1">
        <v>0</v>
      </c>
      <c r="Z1866" s="1">
        <v>0</v>
      </c>
      <c r="AA1866" s="1">
        <v>0</v>
      </c>
      <c r="AB1866" s="1">
        <v>0</v>
      </c>
      <c r="AC1866" s="1">
        <v>0</v>
      </c>
      <c r="AD1866" s="1">
        <v>0</v>
      </c>
    </row>
    <row r="1867" spans="1:30" s="20" customFormat="1" ht="36" customHeight="1" x14ac:dyDescent="0.25">
      <c r="A1867" s="2">
        <f t="shared" ref="A1867:A1868" si="957">ROW()-ROW($A$11)-49</f>
        <v>1807</v>
      </c>
      <c r="B1867" s="6">
        <f>A1867</f>
        <v>1807</v>
      </c>
      <c r="C1867" s="19" t="s">
        <v>2529</v>
      </c>
      <c r="D1867" s="4">
        <f>E1867+M1867+O1867+Q1867+S1867+T1867+U1867+V1867+W1867+X1867+Z1867+AA1867+AB1867+AC1867+AD1867</f>
        <v>2938270</v>
      </c>
      <c r="E1867" s="1">
        <f>SUM(F1867:K1867)</f>
        <v>0</v>
      </c>
      <c r="F1867" s="1">
        <v>0</v>
      </c>
      <c r="G1867" s="1">
        <v>0</v>
      </c>
      <c r="H1867" s="1">
        <v>0</v>
      </c>
      <c r="I1867" s="1">
        <v>0</v>
      </c>
      <c r="J1867" s="1">
        <v>0</v>
      </c>
      <c r="K1867" s="1">
        <v>0</v>
      </c>
      <c r="L1867" s="2">
        <v>0</v>
      </c>
      <c r="M1867" s="1">
        <v>0</v>
      </c>
      <c r="N1867" s="1">
        <v>0</v>
      </c>
      <c r="O1867" s="1">
        <v>0</v>
      </c>
      <c r="P1867" s="1">
        <v>0</v>
      </c>
      <c r="Q1867" s="1">
        <f>P1867*1400</f>
        <v>0</v>
      </c>
      <c r="R1867" s="1">
        <v>770</v>
      </c>
      <c r="S1867" s="1">
        <f>R1867*3751</f>
        <v>2888270</v>
      </c>
      <c r="T1867" s="1">
        <v>0</v>
      </c>
      <c r="U1867" s="1">
        <v>0</v>
      </c>
      <c r="V1867" s="1">
        <v>0</v>
      </c>
      <c r="W1867" s="1">
        <v>50000</v>
      </c>
      <c r="X1867" s="1">
        <v>0</v>
      </c>
      <c r="Y1867" s="1">
        <v>0</v>
      </c>
      <c r="Z1867" s="1">
        <v>0</v>
      </c>
      <c r="AA1867" s="1">
        <v>0</v>
      </c>
      <c r="AB1867" s="1">
        <v>0</v>
      </c>
      <c r="AC1867" s="1">
        <v>0</v>
      </c>
      <c r="AD1867" s="1">
        <v>0</v>
      </c>
    </row>
    <row r="1868" spans="1:30" s="20" customFormat="1" ht="36" customHeight="1" x14ac:dyDescent="0.25">
      <c r="A1868" s="2">
        <f t="shared" si="957"/>
        <v>1808</v>
      </c>
      <c r="B1868" s="6">
        <f>A1868</f>
        <v>1808</v>
      </c>
      <c r="C1868" s="19" t="s">
        <v>2530</v>
      </c>
      <c r="D1868" s="4">
        <f>E1868+M1868+O1868+Q1868+S1868+T1868+U1868+V1868+W1868+X1868+Z1868+AA1868+AB1868+AC1868+AD1868</f>
        <v>2938270</v>
      </c>
      <c r="E1868" s="1">
        <f>SUM(F1868:K1868)</f>
        <v>0</v>
      </c>
      <c r="F1868" s="1">
        <v>0</v>
      </c>
      <c r="G1868" s="1">
        <v>0</v>
      </c>
      <c r="H1868" s="1">
        <v>0</v>
      </c>
      <c r="I1868" s="1">
        <v>0</v>
      </c>
      <c r="J1868" s="1">
        <v>0</v>
      </c>
      <c r="K1868" s="1">
        <v>0</v>
      </c>
      <c r="L1868" s="2">
        <v>0</v>
      </c>
      <c r="M1868" s="1">
        <v>0</v>
      </c>
      <c r="N1868" s="1">
        <v>0</v>
      </c>
      <c r="O1868" s="1">
        <v>0</v>
      </c>
      <c r="P1868" s="1">
        <v>0</v>
      </c>
      <c r="Q1868" s="1">
        <f>P1868*1400</f>
        <v>0</v>
      </c>
      <c r="R1868" s="1">
        <v>770</v>
      </c>
      <c r="S1868" s="1">
        <f>R1868*3751</f>
        <v>2888270</v>
      </c>
      <c r="T1868" s="1">
        <v>0</v>
      </c>
      <c r="U1868" s="1">
        <v>0</v>
      </c>
      <c r="V1868" s="1">
        <v>0</v>
      </c>
      <c r="W1868" s="1">
        <v>50000</v>
      </c>
      <c r="X1868" s="1">
        <v>0</v>
      </c>
      <c r="Y1868" s="1">
        <v>0</v>
      </c>
      <c r="Z1868" s="1">
        <v>0</v>
      </c>
      <c r="AA1868" s="1">
        <v>0</v>
      </c>
      <c r="AB1868" s="1">
        <v>0</v>
      </c>
      <c r="AC1868" s="1">
        <v>0</v>
      </c>
      <c r="AD1868" s="1">
        <v>0</v>
      </c>
    </row>
    <row r="1869" spans="1:30" s="20" customFormat="1" ht="54.95" customHeight="1" x14ac:dyDescent="0.25">
      <c r="A1869" s="3"/>
      <c r="B1869" s="47" t="s">
        <v>1988</v>
      </c>
      <c r="C1869" s="48"/>
      <c r="D1869" s="4">
        <f>SUM(D1870:D1874)</f>
        <v>32498057.5</v>
      </c>
      <c r="E1869" s="4">
        <f t="shared" ref="E1869:AD1869" si="958">SUM(E1870:E1874)</f>
        <v>9874907.5</v>
      </c>
      <c r="F1869" s="4">
        <f t="shared" si="958"/>
        <v>2022783.6</v>
      </c>
      <c r="G1869" s="4">
        <f t="shared" si="958"/>
        <v>4259418.7</v>
      </c>
      <c r="H1869" s="4">
        <f t="shared" si="958"/>
        <v>981201</v>
      </c>
      <c r="I1869" s="4">
        <f t="shared" si="958"/>
        <v>1436578.9</v>
      </c>
      <c r="J1869" s="4">
        <f t="shared" si="958"/>
        <v>1174925.3</v>
      </c>
      <c r="K1869" s="4">
        <f t="shared" si="958"/>
        <v>0</v>
      </c>
      <c r="L1869" s="17">
        <f t="shared" si="958"/>
        <v>0</v>
      </c>
      <c r="M1869" s="4">
        <f t="shared" si="958"/>
        <v>0</v>
      </c>
      <c r="N1869" s="4">
        <f t="shared" si="958"/>
        <v>1572</v>
      </c>
      <c r="O1869" s="4">
        <f t="shared" si="958"/>
        <v>12183000</v>
      </c>
      <c r="P1869" s="4">
        <f t="shared" si="958"/>
        <v>0</v>
      </c>
      <c r="Q1869" s="4">
        <f t="shared" si="958"/>
        <v>0</v>
      </c>
      <c r="R1869" s="4">
        <f t="shared" si="958"/>
        <v>2650</v>
      </c>
      <c r="S1869" s="4">
        <f t="shared" si="958"/>
        <v>9940150</v>
      </c>
      <c r="T1869" s="4">
        <f t="shared" si="958"/>
        <v>0</v>
      </c>
      <c r="U1869" s="4">
        <f t="shared" si="958"/>
        <v>250000</v>
      </c>
      <c r="V1869" s="4">
        <f t="shared" si="958"/>
        <v>0</v>
      </c>
      <c r="W1869" s="4">
        <f t="shared" si="958"/>
        <v>250000</v>
      </c>
      <c r="X1869" s="4">
        <f t="shared" si="958"/>
        <v>0</v>
      </c>
      <c r="Y1869" s="4">
        <f t="shared" si="958"/>
        <v>0</v>
      </c>
      <c r="Z1869" s="4">
        <f t="shared" si="958"/>
        <v>0</v>
      </c>
      <c r="AA1869" s="4">
        <f t="shared" si="958"/>
        <v>0</v>
      </c>
      <c r="AB1869" s="4">
        <f t="shared" si="958"/>
        <v>0</v>
      </c>
      <c r="AC1869" s="4">
        <f t="shared" si="958"/>
        <v>0</v>
      </c>
      <c r="AD1869" s="4">
        <f t="shared" si="958"/>
        <v>0</v>
      </c>
    </row>
    <row r="1870" spans="1:30" s="20" customFormat="1" ht="36" customHeight="1" x14ac:dyDescent="0.25">
      <c r="A1870" s="2">
        <f>ROW()-ROW($A$11)-50</f>
        <v>1809</v>
      </c>
      <c r="B1870" s="6">
        <f>A1870</f>
        <v>1809</v>
      </c>
      <c r="C1870" s="19" t="s">
        <v>1136</v>
      </c>
      <c r="D1870" s="4">
        <f>E1870+M1870+O1870+Q1870+S1870+T1870+U1870+V1870+W1870+X1870+Z1870+AA1870+AB1870+AC1870+AD1870</f>
        <v>5925117</v>
      </c>
      <c r="E1870" s="1">
        <f>SUM(F1870:K1870)</f>
        <v>3041875</v>
      </c>
      <c r="F1870" s="1">
        <f>804*775</f>
        <v>623100</v>
      </c>
      <c r="G1870" s="1">
        <f>1693*775</f>
        <v>1312075</v>
      </c>
      <c r="H1870" s="1">
        <f>390*775</f>
        <v>302250</v>
      </c>
      <c r="I1870" s="1">
        <f>571*775</f>
        <v>442525</v>
      </c>
      <c r="J1870" s="1">
        <f>467*775</f>
        <v>361925</v>
      </c>
      <c r="K1870" s="1">
        <v>0</v>
      </c>
      <c r="L1870" s="2">
        <v>0</v>
      </c>
      <c r="M1870" s="1">
        <v>0</v>
      </c>
      <c r="N1870" s="1">
        <v>0</v>
      </c>
      <c r="O1870" s="1">
        <v>0</v>
      </c>
      <c r="P1870" s="1">
        <v>0</v>
      </c>
      <c r="Q1870" s="1">
        <f>P1870*1400</f>
        <v>0</v>
      </c>
      <c r="R1870" s="1">
        <v>742</v>
      </c>
      <c r="S1870" s="1">
        <f>R1870*3751</f>
        <v>2783242</v>
      </c>
      <c r="T1870" s="1">
        <v>0</v>
      </c>
      <c r="U1870" s="1">
        <v>50000</v>
      </c>
      <c r="V1870" s="1">
        <v>0</v>
      </c>
      <c r="W1870" s="1">
        <v>50000</v>
      </c>
      <c r="X1870" s="1">
        <v>0</v>
      </c>
      <c r="Y1870" s="1">
        <v>0</v>
      </c>
      <c r="Z1870" s="1">
        <v>0</v>
      </c>
      <c r="AA1870" s="1">
        <v>0</v>
      </c>
      <c r="AB1870" s="1">
        <v>0</v>
      </c>
      <c r="AC1870" s="1">
        <v>0</v>
      </c>
      <c r="AD1870" s="1">
        <v>0</v>
      </c>
    </row>
    <row r="1871" spans="1:30" s="20" customFormat="1" ht="36" customHeight="1" x14ac:dyDescent="0.25">
      <c r="A1871" s="2">
        <f t="shared" ref="A1871:A1874" si="959">ROW()-ROW($A$11)-50</f>
        <v>1810</v>
      </c>
      <c r="B1871" s="6">
        <f>A1871</f>
        <v>1810</v>
      </c>
      <c r="C1871" s="19" t="s">
        <v>1138</v>
      </c>
      <c r="D1871" s="4">
        <f>E1871+M1871+O1871+Q1871+S1871+T1871+U1871+V1871+W1871+X1871+Z1871+AA1871+AB1871+AC1871+AD1871</f>
        <v>3356388</v>
      </c>
      <c r="E1871" s="1">
        <f>SUM(F1871:K1871)</f>
        <v>1500919.9999999998</v>
      </c>
      <c r="F1871" s="1">
        <f>804*382.4</f>
        <v>307449.59999999998</v>
      </c>
      <c r="G1871" s="1">
        <f>1693*382.4</f>
        <v>647403.19999999995</v>
      </c>
      <c r="H1871" s="1">
        <f>390*382.4</f>
        <v>149136</v>
      </c>
      <c r="I1871" s="1">
        <f>571*382.4</f>
        <v>218350.4</v>
      </c>
      <c r="J1871" s="1">
        <f>467*382.4</f>
        <v>178580.8</v>
      </c>
      <c r="K1871" s="1">
        <v>0</v>
      </c>
      <c r="L1871" s="2">
        <v>0</v>
      </c>
      <c r="M1871" s="1">
        <v>0</v>
      </c>
      <c r="N1871" s="1">
        <v>0</v>
      </c>
      <c r="O1871" s="1">
        <v>0</v>
      </c>
      <c r="P1871" s="1">
        <v>0</v>
      </c>
      <c r="Q1871" s="1">
        <f>P1871*1400</f>
        <v>0</v>
      </c>
      <c r="R1871" s="1">
        <v>468</v>
      </c>
      <c r="S1871" s="1">
        <f>R1871*3751</f>
        <v>1755468</v>
      </c>
      <c r="T1871" s="1">
        <v>0</v>
      </c>
      <c r="U1871" s="1">
        <v>50000</v>
      </c>
      <c r="V1871" s="1">
        <v>0</v>
      </c>
      <c r="W1871" s="1">
        <v>50000</v>
      </c>
      <c r="X1871" s="1">
        <v>0</v>
      </c>
      <c r="Y1871" s="1">
        <v>0</v>
      </c>
      <c r="Z1871" s="1">
        <v>0</v>
      </c>
      <c r="AA1871" s="1">
        <v>0</v>
      </c>
      <c r="AB1871" s="1">
        <v>0</v>
      </c>
      <c r="AC1871" s="1">
        <v>0</v>
      </c>
      <c r="AD1871" s="1">
        <v>0</v>
      </c>
    </row>
    <row r="1872" spans="1:30" s="20" customFormat="1" ht="36" customHeight="1" x14ac:dyDescent="0.25">
      <c r="A1872" s="2">
        <f t="shared" si="959"/>
        <v>1811</v>
      </c>
      <c r="B1872" s="6">
        <f>A1872</f>
        <v>1811</v>
      </c>
      <c r="C1872" s="19" t="s">
        <v>1139</v>
      </c>
      <c r="D1872" s="4">
        <f>E1872+M1872+O1872+Q1872+S1872+T1872+U1872+V1872+W1872+X1872+Z1872+AA1872+AB1872+AC1872+AD1872</f>
        <v>7447092.5</v>
      </c>
      <c r="E1872" s="1">
        <f>SUM(F1872:K1872)</f>
        <v>1485612.5</v>
      </c>
      <c r="F1872" s="1">
        <f>804*378.5</f>
        <v>304314</v>
      </c>
      <c r="G1872" s="1">
        <f>1693*378.5</f>
        <v>640800.5</v>
      </c>
      <c r="H1872" s="1">
        <f>390*378.5</f>
        <v>147615</v>
      </c>
      <c r="I1872" s="1">
        <f>571*378.5</f>
        <v>216123.5</v>
      </c>
      <c r="J1872" s="1">
        <f>467*378.5</f>
        <v>176759.5</v>
      </c>
      <c r="K1872" s="1">
        <v>0</v>
      </c>
      <c r="L1872" s="2">
        <v>0</v>
      </c>
      <c r="M1872" s="1">
        <v>0</v>
      </c>
      <c r="N1872" s="1">
        <v>524</v>
      </c>
      <c r="O1872" s="1">
        <f>N1872*7750</f>
        <v>4061000</v>
      </c>
      <c r="P1872" s="1">
        <v>0</v>
      </c>
      <c r="Q1872" s="1">
        <f>P1872*1400</f>
        <v>0</v>
      </c>
      <c r="R1872" s="1">
        <v>480</v>
      </c>
      <c r="S1872" s="1">
        <f>R1872*3751</f>
        <v>1800480</v>
      </c>
      <c r="T1872" s="1">
        <v>0</v>
      </c>
      <c r="U1872" s="1">
        <v>50000</v>
      </c>
      <c r="V1872" s="1">
        <v>0</v>
      </c>
      <c r="W1872" s="1">
        <v>50000</v>
      </c>
      <c r="X1872" s="1">
        <v>0</v>
      </c>
      <c r="Y1872" s="1">
        <v>0</v>
      </c>
      <c r="Z1872" s="1">
        <v>0</v>
      </c>
      <c r="AA1872" s="1">
        <v>0</v>
      </c>
      <c r="AB1872" s="1">
        <v>0</v>
      </c>
      <c r="AC1872" s="1">
        <v>0</v>
      </c>
      <c r="AD1872" s="1">
        <v>0</v>
      </c>
    </row>
    <row r="1873" spans="1:30" s="20" customFormat="1" ht="36" customHeight="1" x14ac:dyDescent="0.25">
      <c r="A1873" s="2">
        <f t="shared" si="959"/>
        <v>1812</v>
      </c>
      <c r="B1873" s="6">
        <f>A1873</f>
        <v>1812</v>
      </c>
      <c r="C1873" s="19" t="s">
        <v>1140</v>
      </c>
      <c r="D1873" s="4">
        <f>E1873+M1873+O1873+Q1873+S1873+T1873+U1873+V1873+W1873+X1873+Z1873+AA1873+AB1873+AC1873+AD1873</f>
        <v>8316480</v>
      </c>
      <c r="E1873" s="1">
        <f>SUM(F1873:K1873)</f>
        <v>2355000</v>
      </c>
      <c r="F1873" s="1">
        <f>804*600</f>
        <v>482400</v>
      </c>
      <c r="G1873" s="1">
        <f>1693*600</f>
        <v>1015800</v>
      </c>
      <c r="H1873" s="1">
        <f>390*600</f>
        <v>234000</v>
      </c>
      <c r="I1873" s="1">
        <f>571*600</f>
        <v>342600</v>
      </c>
      <c r="J1873" s="1">
        <f>467*600</f>
        <v>280200</v>
      </c>
      <c r="K1873" s="1">
        <v>0</v>
      </c>
      <c r="L1873" s="2">
        <v>0</v>
      </c>
      <c r="M1873" s="1">
        <v>0</v>
      </c>
      <c r="N1873" s="1">
        <v>524</v>
      </c>
      <c r="O1873" s="1">
        <f>N1873*7750</f>
        <v>4061000</v>
      </c>
      <c r="P1873" s="1">
        <v>0</v>
      </c>
      <c r="Q1873" s="1">
        <f>P1873*1400</f>
        <v>0</v>
      </c>
      <c r="R1873" s="1">
        <v>480</v>
      </c>
      <c r="S1873" s="1">
        <f>R1873*3751</f>
        <v>1800480</v>
      </c>
      <c r="T1873" s="1">
        <v>0</v>
      </c>
      <c r="U1873" s="1">
        <v>50000</v>
      </c>
      <c r="V1873" s="1">
        <v>0</v>
      </c>
      <c r="W1873" s="1">
        <v>50000</v>
      </c>
      <c r="X1873" s="1">
        <v>0</v>
      </c>
      <c r="Y1873" s="1">
        <v>0</v>
      </c>
      <c r="Z1873" s="1">
        <v>0</v>
      </c>
      <c r="AA1873" s="1">
        <v>0</v>
      </c>
      <c r="AB1873" s="1">
        <v>0</v>
      </c>
      <c r="AC1873" s="1">
        <v>0</v>
      </c>
      <c r="AD1873" s="1">
        <v>0</v>
      </c>
    </row>
    <row r="1874" spans="1:30" s="20" customFormat="1" ht="36" customHeight="1" x14ac:dyDescent="0.25">
      <c r="A1874" s="2">
        <f t="shared" si="959"/>
        <v>1813</v>
      </c>
      <c r="B1874" s="6">
        <f>A1874</f>
        <v>1813</v>
      </c>
      <c r="C1874" s="19" t="s">
        <v>1141</v>
      </c>
      <c r="D1874" s="4">
        <f>E1874+M1874+O1874+Q1874+S1874+T1874+U1874+V1874+W1874+X1874+Z1874+AA1874+AB1874+AC1874+AD1874</f>
        <v>7452980</v>
      </c>
      <c r="E1874" s="1">
        <f>SUM(F1874:K1874)</f>
        <v>1491500</v>
      </c>
      <c r="F1874" s="1">
        <f>804*380</f>
        <v>305520</v>
      </c>
      <c r="G1874" s="1">
        <f>1693*380</f>
        <v>643340</v>
      </c>
      <c r="H1874" s="1">
        <f>390*380</f>
        <v>148200</v>
      </c>
      <c r="I1874" s="1">
        <f>571*380</f>
        <v>216980</v>
      </c>
      <c r="J1874" s="1">
        <f>467*380</f>
        <v>177460</v>
      </c>
      <c r="K1874" s="1">
        <v>0</v>
      </c>
      <c r="L1874" s="2">
        <v>0</v>
      </c>
      <c r="M1874" s="1">
        <v>0</v>
      </c>
      <c r="N1874" s="1">
        <v>524</v>
      </c>
      <c r="O1874" s="1">
        <f>N1874*7750</f>
        <v>4061000</v>
      </c>
      <c r="P1874" s="1">
        <v>0</v>
      </c>
      <c r="Q1874" s="1">
        <f>P1874*1400</f>
        <v>0</v>
      </c>
      <c r="R1874" s="1">
        <v>480</v>
      </c>
      <c r="S1874" s="1">
        <f>R1874*3751</f>
        <v>1800480</v>
      </c>
      <c r="T1874" s="1">
        <v>0</v>
      </c>
      <c r="U1874" s="1">
        <v>50000</v>
      </c>
      <c r="V1874" s="1">
        <v>0</v>
      </c>
      <c r="W1874" s="1">
        <v>50000</v>
      </c>
      <c r="X1874" s="1">
        <v>0</v>
      </c>
      <c r="Y1874" s="1">
        <v>0</v>
      </c>
      <c r="Z1874" s="1">
        <v>0</v>
      </c>
      <c r="AA1874" s="1">
        <v>0</v>
      </c>
      <c r="AB1874" s="1">
        <v>0</v>
      </c>
      <c r="AC1874" s="1">
        <v>0</v>
      </c>
      <c r="AD1874" s="1">
        <v>0</v>
      </c>
    </row>
    <row r="1875" spans="1:30" s="20" customFormat="1" ht="54.95" customHeight="1" x14ac:dyDescent="0.25">
      <c r="A1875" s="3"/>
      <c r="B1875" s="47" t="s">
        <v>1989</v>
      </c>
      <c r="C1875" s="48"/>
      <c r="D1875" s="4">
        <f>SUM(D1876:D1888)</f>
        <v>122488892.10000001</v>
      </c>
      <c r="E1875" s="4">
        <f t="shared" ref="E1875:AD1875" si="960">SUM(E1876:E1888)</f>
        <v>63377333.099999994</v>
      </c>
      <c r="F1875" s="4">
        <f t="shared" si="960"/>
        <v>14621222.399999999</v>
      </c>
      <c r="G1875" s="4">
        <f t="shared" si="960"/>
        <v>28777614</v>
      </c>
      <c r="H1875" s="4">
        <f t="shared" si="960"/>
        <v>6819072</v>
      </c>
      <c r="I1875" s="4">
        <f t="shared" si="960"/>
        <v>4994023.0999999996</v>
      </c>
      <c r="J1875" s="4">
        <f t="shared" si="960"/>
        <v>8165401.5999999996</v>
      </c>
      <c r="K1875" s="4">
        <f t="shared" si="960"/>
        <v>0</v>
      </c>
      <c r="L1875" s="17">
        <f t="shared" si="960"/>
        <v>7</v>
      </c>
      <c r="M1875" s="4">
        <f t="shared" si="960"/>
        <v>24500000</v>
      </c>
      <c r="N1875" s="4">
        <f t="shared" si="960"/>
        <v>2300</v>
      </c>
      <c r="O1875" s="4">
        <f t="shared" si="960"/>
        <v>14152760</v>
      </c>
      <c r="P1875" s="4">
        <f t="shared" si="960"/>
        <v>50</v>
      </c>
      <c r="Q1875" s="4">
        <f t="shared" si="960"/>
        <v>70000</v>
      </c>
      <c r="R1875" s="4">
        <f t="shared" si="960"/>
        <v>5049</v>
      </c>
      <c r="S1875" s="4">
        <f t="shared" si="960"/>
        <v>18938799</v>
      </c>
      <c r="T1875" s="4">
        <f t="shared" si="960"/>
        <v>300000</v>
      </c>
      <c r="U1875" s="4">
        <f t="shared" si="960"/>
        <v>900000</v>
      </c>
      <c r="V1875" s="4">
        <f t="shared" si="960"/>
        <v>0</v>
      </c>
      <c r="W1875" s="4">
        <f t="shared" si="960"/>
        <v>250000</v>
      </c>
      <c r="X1875" s="4">
        <f t="shared" si="960"/>
        <v>0</v>
      </c>
      <c r="Y1875" s="4">
        <f t="shared" si="960"/>
        <v>0</v>
      </c>
      <c r="Z1875" s="4">
        <f t="shared" si="960"/>
        <v>0</v>
      </c>
      <c r="AA1875" s="4">
        <f t="shared" si="960"/>
        <v>0</v>
      </c>
      <c r="AB1875" s="4">
        <f t="shared" si="960"/>
        <v>0</v>
      </c>
      <c r="AC1875" s="4">
        <f t="shared" si="960"/>
        <v>0</v>
      </c>
      <c r="AD1875" s="4">
        <f t="shared" si="960"/>
        <v>0</v>
      </c>
    </row>
    <row r="1876" spans="1:30" s="20" customFormat="1" ht="36" customHeight="1" x14ac:dyDescent="0.25">
      <c r="A1876" s="2">
        <f>ROW()-ROW($A$11)-51</f>
        <v>1814</v>
      </c>
      <c r="B1876" s="6">
        <f t="shared" ref="B1876" si="961">A1876</f>
        <v>1814</v>
      </c>
      <c r="C1876" s="19" t="s">
        <v>1888</v>
      </c>
      <c r="D1876" s="4">
        <f t="shared" ref="D1876:D1888" si="962">E1876+M1876+O1876+Q1876+S1876+T1876+U1876+V1876+W1876+X1876+Z1876+AA1876+AB1876+AC1876+AD1876</f>
        <v>7200000</v>
      </c>
      <c r="E1876" s="1">
        <f t="shared" ref="E1876" si="963">SUM(F1876:K1876)</f>
        <v>0</v>
      </c>
      <c r="F1876" s="1">
        <v>0</v>
      </c>
      <c r="G1876" s="1">
        <v>0</v>
      </c>
      <c r="H1876" s="1">
        <v>0</v>
      </c>
      <c r="I1876" s="1">
        <v>0</v>
      </c>
      <c r="J1876" s="1">
        <v>0</v>
      </c>
      <c r="K1876" s="1">
        <v>0</v>
      </c>
      <c r="L1876" s="2">
        <v>2</v>
      </c>
      <c r="M1876" s="1">
        <f>L1876*3500000</f>
        <v>7000000</v>
      </c>
      <c r="N1876" s="1">
        <v>0</v>
      </c>
      <c r="O1876" s="1">
        <v>0</v>
      </c>
      <c r="P1876" s="1">
        <v>0</v>
      </c>
      <c r="Q1876" s="1">
        <f t="shared" ref="Q1876" si="964">P1876*1400</f>
        <v>0</v>
      </c>
      <c r="R1876" s="1">
        <v>0</v>
      </c>
      <c r="S1876" s="1">
        <f t="shared" ref="S1876" si="965">R1876*3751</f>
        <v>0</v>
      </c>
      <c r="T1876" s="1">
        <v>0</v>
      </c>
      <c r="U1876" s="1">
        <v>200000</v>
      </c>
      <c r="V1876" s="1">
        <v>0</v>
      </c>
      <c r="W1876" s="1">
        <v>0</v>
      </c>
      <c r="X1876" s="1">
        <v>0</v>
      </c>
      <c r="Y1876" s="1">
        <v>0</v>
      </c>
      <c r="Z1876" s="1">
        <v>0</v>
      </c>
      <c r="AA1876" s="1">
        <v>0</v>
      </c>
      <c r="AB1876" s="1">
        <v>0</v>
      </c>
      <c r="AC1876" s="1">
        <v>0</v>
      </c>
      <c r="AD1876" s="1">
        <v>0</v>
      </c>
    </row>
    <row r="1877" spans="1:30" s="20" customFormat="1" ht="36" customHeight="1" x14ac:dyDescent="0.25">
      <c r="A1877" s="2">
        <f t="shared" ref="A1877:A1888" si="966">ROW()-ROW($A$11)-51</f>
        <v>1815</v>
      </c>
      <c r="B1877" s="6">
        <f>A1877</f>
        <v>1815</v>
      </c>
      <c r="C1877" s="19" t="s">
        <v>1142</v>
      </c>
      <c r="D1877" s="4">
        <f t="shared" si="962"/>
        <v>2678529.8000000003</v>
      </c>
      <c r="E1877" s="1">
        <f>SUM(F1877:K1877)</f>
        <v>2628529.8000000003</v>
      </c>
      <c r="F1877" s="1">
        <f>804*783.7</f>
        <v>630094.80000000005</v>
      </c>
      <c r="G1877" s="1">
        <f>1693*783.7</f>
        <v>1326804.1000000001</v>
      </c>
      <c r="H1877" s="1">
        <f>390*783.7</f>
        <v>305643</v>
      </c>
      <c r="I1877" s="1">
        <v>0</v>
      </c>
      <c r="J1877" s="1">
        <f>467*783.7</f>
        <v>365987.9</v>
      </c>
      <c r="K1877" s="1">
        <v>0</v>
      </c>
      <c r="L1877" s="2">
        <v>0</v>
      </c>
      <c r="M1877" s="1">
        <v>0</v>
      </c>
      <c r="N1877" s="1">
        <v>0</v>
      </c>
      <c r="O1877" s="1">
        <v>0</v>
      </c>
      <c r="P1877" s="1">
        <v>0</v>
      </c>
      <c r="Q1877" s="1">
        <f>P1877*1400</f>
        <v>0</v>
      </c>
      <c r="R1877" s="1">
        <v>0</v>
      </c>
      <c r="S1877" s="1">
        <f t="shared" ref="S1877:S1888" si="967">R1877*3751</f>
        <v>0</v>
      </c>
      <c r="T1877" s="1">
        <v>0</v>
      </c>
      <c r="U1877" s="1">
        <v>50000</v>
      </c>
      <c r="V1877" s="1">
        <v>0</v>
      </c>
      <c r="W1877" s="1">
        <v>0</v>
      </c>
      <c r="X1877" s="1">
        <v>0</v>
      </c>
      <c r="Y1877" s="1">
        <v>0</v>
      </c>
      <c r="Z1877" s="1">
        <v>0</v>
      </c>
      <c r="AA1877" s="1">
        <v>0</v>
      </c>
      <c r="AB1877" s="1">
        <v>0</v>
      </c>
      <c r="AC1877" s="1">
        <v>0</v>
      </c>
      <c r="AD1877" s="1">
        <v>0</v>
      </c>
    </row>
    <row r="1878" spans="1:30" s="20" customFormat="1" ht="36" customHeight="1" x14ac:dyDescent="0.25">
      <c r="A1878" s="2">
        <f t="shared" si="966"/>
        <v>1816</v>
      </c>
      <c r="B1878" s="6">
        <f>A1878</f>
        <v>1816</v>
      </c>
      <c r="C1878" s="19" t="s">
        <v>1143</v>
      </c>
      <c r="D1878" s="4">
        <f t="shared" si="962"/>
        <v>4933859.4000000004</v>
      </c>
      <c r="E1878" s="1">
        <f t="shared" ref="E1878:E1888" si="968">SUM(F1878:K1878)</f>
        <v>926039.40000000014</v>
      </c>
      <c r="F1878" s="1">
        <f>804*276.1</f>
        <v>221984.40000000002</v>
      </c>
      <c r="G1878" s="1">
        <f>1693*276.1</f>
        <v>467437.30000000005</v>
      </c>
      <c r="H1878" s="1">
        <f>390*276.1</f>
        <v>107679.00000000001</v>
      </c>
      <c r="I1878" s="1">
        <v>0</v>
      </c>
      <c r="J1878" s="1">
        <f>467*276.1</f>
        <v>128938.70000000001</v>
      </c>
      <c r="K1878" s="1">
        <v>0</v>
      </c>
      <c r="L1878" s="2">
        <v>0</v>
      </c>
      <c r="M1878" s="1">
        <v>0</v>
      </c>
      <c r="N1878" s="1">
        <v>330</v>
      </c>
      <c r="O1878" s="1">
        <f>N1878*7750</f>
        <v>2557500</v>
      </c>
      <c r="P1878" s="1">
        <v>0</v>
      </c>
      <c r="Q1878" s="1">
        <f t="shared" ref="Q1878:Q1887" si="969">P1878*1400</f>
        <v>0</v>
      </c>
      <c r="R1878" s="1">
        <v>320</v>
      </c>
      <c r="S1878" s="1">
        <f t="shared" si="967"/>
        <v>1200320</v>
      </c>
      <c r="T1878" s="1">
        <v>150000</v>
      </c>
      <c r="U1878" s="1">
        <v>50000</v>
      </c>
      <c r="V1878" s="1">
        <v>0</v>
      </c>
      <c r="W1878" s="1">
        <v>50000</v>
      </c>
      <c r="X1878" s="1">
        <v>0</v>
      </c>
      <c r="Y1878" s="1">
        <v>0</v>
      </c>
      <c r="Z1878" s="1">
        <v>0</v>
      </c>
      <c r="AA1878" s="1">
        <v>0</v>
      </c>
      <c r="AB1878" s="1">
        <v>0</v>
      </c>
      <c r="AC1878" s="1">
        <v>0</v>
      </c>
      <c r="AD1878" s="1">
        <v>0</v>
      </c>
    </row>
    <row r="1879" spans="1:30" s="20" customFormat="1" ht="36" customHeight="1" x14ac:dyDescent="0.25">
      <c r="A1879" s="2">
        <f t="shared" si="966"/>
        <v>1817</v>
      </c>
      <c r="B1879" s="6">
        <f>A1879</f>
        <v>1817</v>
      </c>
      <c r="C1879" s="19" t="s">
        <v>1145</v>
      </c>
      <c r="D1879" s="4">
        <f t="shared" si="962"/>
        <v>5919500</v>
      </c>
      <c r="E1879" s="1">
        <f t="shared" si="968"/>
        <v>5869500</v>
      </c>
      <c r="F1879" s="1">
        <f>804*1750</f>
        <v>1407000</v>
      </c>
      <c r="G1879" s="1">
        <f>1693*1750</f>
        <v>2962750</v>
      </c>
      <c r="H1879" s="1">
        <f>390*1750</f>
        <v>682500</v>
      </c>
      <c r="I1879" s="1">
        <v>0</v>
      </c>
      <c r="J1879" s="1">
        <f>467*1750</f>
        <v>817250</v>
      </c>
      <c r="K1879" s="1">
        <v>0</v>
      </c>
      <c r="L1879" s="2">
        <v>0</v>
      </c>
      <c r="M1879" s="1">
        <v>0</v>
      </c>
      <c r="N1879" s="1">
        <v>0</v>
      </c>
      <c r="O1879" s="1">
        <v>0</v>
      </c>
      <c r="P1879" s="1">
        <v>0</v>
      </c>
      <c r="Q1879" s="1">
        <f t="shared" si="969"/>
        <v>0</v>
      </c>
      <c r="R1879" s="1">
        <v>0</v>
      </c>
      <c r="S1879" s="1">
        <f t="shared" si="967"/>
        <v>0</v>
      </c>
      <c r="T1879" s="1">
        <v>0</v>
      </c>
      <c r="U1879" s="1">
        <v>50000</v>
      </c>
      <c r="V1879" s="1">
        <v>0</v>
      </c>
      <c r="W1879" s="1">
        <v>0</v>
      </c>
      <c r="X1879" s="1">
        <v>0</v>
      </c>
      <c r="Y1879" s="1">
        <v>0</v>
      </c>
      <c r="Z1879" s="1">
        <v>0</v>
      </c>
      <c r="AA1879" s="1">
        <v>0</v>
      </c>
      <c r="AB1879" s="1">
        <v>0</v>
      </c>
      <c r="AC1879" s="1">
        <v>0</v>
      </c>
      <c r="AD1879" s="1">
        <v>0</v>
      </c>
    </row>
    <row r="1880" spans="1:30" s="20" customFormat="1" ht="36" customHeight="1" x14ac:dyDescent="0.25">
      <c r="A1880" s="2">
        <f t="shared" si="966"/>
        <v>1818</v>
      </c>
      <c r="B1880" s="6">
        <f t="shared" ref="B1880:B1888" si="970">A1880</f>
        <v>1818</v>
      </c>
      <c r="C1880" s="19" t="s">
        <v>1146</v>
      </c>
      <c r="D1880" s="4">
        <f t="shared" si="962"/>
        <v>14621582</v>
      </c>
      <c r="E1880" s="1">
        <f t="shared" si="968"/>
        <v>6483282</v>
      </c>
      <c r="F1880" s="1">
        <f>804*1933</f>
        <v>1554132</v>
      </c>
      <c r="G1880" s="1">
        <f>1693*1933</f>
        <v>3272569</v>
      </c>
      <c r="H1880" s="1">
        <f>390*1933</f>
        <v>753870</v>
      </c>
      <c r="I1880" s="1">
        <v>0</v>
      </c>
      <c r="J1880" s="1">
        <f>467*1933</f>
        <v>902711</v>
      </c>
      <c r="K1880" s="1">
        <v>0</v>
      </c>
      <c r="L1880" s="2">
        <v>0</v>
      </c>
      <c r="M1880" s="1">
        <v>0</v>
      </c>
      <c r="N1880" s="1">
        <v>650</v>
      </c>
      <c r="O1880" s="1">
        <f>N1880*7750</f>
        <v>5037500</v>
      </c>
      <c r="P1880" s="1">
        <v>0</v>
      </c>
      <c r="Q1880" s="1">
        <f>P1880*1400</f>
        <v>0</v>
      </c>
      <c r="R1880" s="1">
        <v>800</v>
      </c>
      <c r="S1880" s="1">
        <f t="shared" si="967"/>
        <v>3000800</v>
      </c>
      <c r="T1880" s="1">
        <v>0</v>
      </c>
      <c r="U1880" s="1">
        <v>50000</v>
      </c>
      <c r="V1880" s="1">
        <v>0</v>
      </c>
      <c r="W1880" s="1">
        <v>50000</v>
      </c>
      <c r="X1880" s="1">
        <v>0</v>
      </c>
      <c r="Y1880" s="1">
        <v>0</v>
      </c>
      <c r="Z1880" s="1">
        <v>0</v>
      </c>
      <c r="AA1880" s="1">
        <v>0</v>
      </c>
      <c r="AB1880" s="1">
        <v>0</v>
      </c>
      <c r="AC1880" s="1">
        <v>0</v>
      </c>
      <c r="AD1880" s="1">
        <v>0</v>
      </c>
    </row>
    <row r="1881" spans="1:30" s="20" customFormat="1" ht="36" customHeight="1" x14ac:dyDescent="0.25">
      <c r="A1881" s="2">
        <f>ROW()-ROW($A$11)-51</f>
        <v>1819</v>
      </c>
      <c r="B1881" s="3">
        <f>A1881</f>
        <v>1819</v>
      </c>
      <c r="C1881" s="19" t="s">
        <v>1601</v>
      </c>
      <c r="D1881" s="4">
        <f t="shared" si="962"/>
        <v>29676982.499999996</v>
      </c>
      <c r="E1881" s="1">
        <f>SUM(F1881:K1881)</f>
        <v>18242222.499999996</v>
      </c>
      <c r="F1881" s="1">
        <f>804*4647.7</f>
        <v>3736750.8</v>
      </c>
      <c r="G1881" s="1">
        <f>1693*4647.7</f>
        <v>7868556.0999999996</v>
      </c>
      <c r="H1881" s="1">
        <f>390*4647.7</f>
        <v>1812603</v>
      </c>
      <c r="I1881" s="1">
        <f>571*4647.7</f>
        <v>2653836.6999999997</v>
      </c>
      <c r="J1881" s="1">
        <f>467*4647.7</f>
        <v>2170475.9</v>
      </c>
      <c r="K1881" s="1">
        <v>0</v>
      </c>
      <c r="L1881" s="2">
        <v>1</v>
      </c>
      <c r="M1881" s="1">
        <f>L1881*3500000</f>
        <v>3500000</v>
      </c>
      <c r="N1881" s="1">
        <v>520</v>
      </c>
      <c r="O1881" s="1">
        <f>N1881*4968</f>
        <v>2583360</v>
      </c>
      <c r="P1881" s="1">
        <v>0</v>
      </c>
      <c r="Q1881" s="1">
        <f>P1881*1400</f>
        <v>0</v>
      </c>
      <c r="R1881" s="1">
        <v>1400</v>
      </c>
      <c r="S1881" s="1">
        <f>R1881*3751</f>
        <v>5251400</v>
      </c>
      <c r="T1881" s="1">
        <v>0</v>
      </c>
      <c r="U1881" s="1">
        <v>50000</v>
      </c>
      <c r="V1881" s="1">
        <v>0</v>
      </c>
      <c r="W1881" s="1">
        <v>50000</v>
      </c>
      <c r="X1881" s="1">
        <v>0</v>
      </c>
      <c r="Y1881" s="1">
        <v>0</v>
      </c>
      <c r="Z1881" s="1">
        <v>0</v>
      </c>
      <c r="AA1881" s="1">
        <v>0</v>
      </c>
      <c r="AB1881" s="1">
        <v>0</v>
      </c>
      <c r="AC1881" s="1">
        <v>0</v>
      </c>
      <c r="AD1881" s="1">
        <v>0</v>
      </c>
    </row>
    <row r="1882" spans="1:30" s="20" customFormat="1" ht="36" customHeight="1" x14ac:dyDescent="0.25">
      <c r="A1882" s="2">
        <f t="shared" si="966"/>
        <v>1820</v>
      </c>
      <c r="B1882" s="6">
        <f t="shared" si="970"/>
        <v>1820</v>
      </c>
      <c r="C1882" s="19" t="s">
        <v>2230</v>
      </c>
      <c r="D1882" s="4">
        <f t="shared" si="962"/>
        <v>10700000</v>
      </c>
      <c r="E1882" s="1">
        <f t="shared" si="968"/>
        <v>0</v>
      </c>
      <c r="F1882" s="1">
        <v>0</v>
      </c>
      <c r="G1882" s="1">
        <v>0</v>
      </c>
      <c r="H1882" s="1">
        <v>0</v>
      </c>
      <c r="I1882" s="1">
        <v>0</v>
      </c>
      <c r="J1882" s="1">
        <v>0</v>
      </c>
      <c r="K1882" s="1">
        <v>0</v>
      </c>
      <c r="L1882" s="2">
        <v>3</v>
      </c>
      <c r="M1882" s="1">
        <f>L1882*3500000</f>
        <v>10500000</v>
      </c>
      <c r="N1882" s="1">
        <v>0</v>
      </c>
      <c r="O1882" s="1">
        <v>0</v>
      </c>
      <c r="P1882" s="1">
        <v>0</v>
      </c>
      <c r="Q1882" s="1">
        <f t="shared" ref="Q1882" si="971">P1882*1400</f>
        <v>0</v>
      </c>
      <c r="R1882" s="1">
        <v>0</v>
      </c>
      <c r="S1882" s="1">
        <f t="shared" si="967"/>
        <v>0</v>
      </c>
      <c r="T1882" s="1">
        <v>0</v>
      </c>
      <c r="U1882" s="1">
        <v>200000</v>
      </c>
      <c r="V1882" s="1">
        <v>0</v>
      </c>
      <c r="W1882" s="1">
        <v>0</v>
      </c>
      <c r="X1882" s="1">
        <v>0</v>
      </c>
      <c r="Y1882" s="1">
        <v>0</v>
      </c>
      <c r="Z1882" s="1">
        <v>0</v>
      </c>
      <c r="AA1882" s="1">
        <v>0</v>
      </c>
      <c r="AB1882" s="1">
        <v>0</v>
      </c>
      <c r="AC1882" s="1">
        <v>0</v>
      </c>
      <c r="AD1882" s="1">
        <v>0</v>
      </c>
    </row>
    <row r="1883" spans="1:30" s="20" customFormat="1" ht="36" customHeight="1" x14ac:dyDescent="0.25">
      <c r="A1883" s="2">
        <f>ROW()-ROW($A$11)-51</f>
        <v>1821</v>
      </c>
      <c r="B1883" s="3">
        <f>A1883</f>
        <v>1821</v>
      </c>
      <c r="C1883" s="19" t="s">
        <v>1606</v>
      </c>
      <c r="D1883" s="4">
        <f t="shared" si="962"/>
        <v>29662220</v>
      </c>
      <c r="E1883" s="1">
        <f>SUM(F1883:K1883)</f>
        <v>16086220</v>
      </c>
      <c r="F1883" s="1">
        <f>804*4098.4</f>
        <v>3295113.5999999996</v>
      </c>
      <c r="G1883" s="1">
        <f>1693*4098.4</f>
        <v>6938591.1999999993</v>
      </c>
      <c r="H1883" s="1">
        <f>390*4098.4</f>
        <v>1598375.9999999998</v>
      </c>
      <c r="I1883" s="1">
        <f>571*4098.4</f>
        <v>2340186.4</v>
      </c>
      <c r="J1883" s="1">
        <f>467*4098.4</f>
        <v>1913952.7999999998</v>
      </c>
      <c r="K1883" s="1">
        <v>0</v>
      </c>
      <c r="L1883" s="2">
        <v>1</v>
      </c>
      <c r="M1883" s="1">
        <f>L1883*3500000</f>
        <v>3500000</v>
      </c>
      <c r="N1883" s="1">
        <v>800</v>
      </c>
      <c r="O1883" s="1">
        <f>N1883*4968</f>
        <v>3974400</v>
      </c>
      <c r="P1883" s="1">
        <v>0</v>
      </c>
      <c r="Q1883" s="1">
        <f>P1883*1400</f>
        <v>0</v>
      </c>
      <c r="R1883" s="1">
        <v>1600</v>
      </c>
      <c r="S1883" s="1">
        <f>R1883*3751</f>
        <v>6001600</v>
      </c>
      <c r="T1883" s="1">
        <v>0</v>
      </c>
      <c r="U1883" s="1">
        <v>50000</v>
      </c>
      <c r="V1883" s="1">
        <v>0</v>
      </c>
      <c r="W1883" s="1">
        <v>50000</v>
      </c>
      <c r="X1883" s="1">
        <v>0</v>
      </c>
      <c r="Y1883" s="1">
        <v>0</v>
      </c>
      <c r="Z1883" s="1">
        <v>0</v>
      </c>
      <c r="AA1883" s="1">
        <v>0</v>
      </c>
      <c r="AB1883" s="1">
        <v>0</v>
      </c>
      <c r="AC1883" s="1">
        <v>0</v>
      </c>
      <c r="AD1883" s="1">
        <v>0</v>
      </c>
    </row>
    <row r="1884" spans="1:30" s="20" customFormat="1" ht="36" customHeight="1" x14ac:dyDescent="0.25">
      <c r="A1884" s="2">
        <f t="shared" si="966"/>
        <v>1822</v>
      </c>
      <c r="B1884" s="6">
        <f>A1884</f>
        <v>1822</v>
      </c>
      <c r="C1884" s="19" t="s">
        <v>1652</v>
      </c>
      <c r="D1884" s="4">
        <f t="shared" si="962"/>
        <v>6709939.3999999994</v>
      </c>
      <c r="E1884" s="1">
        <f t="shared" si="968"/>
        <v>4296809.3999999994</v>
      </c>
      <c r="F1884" s="1">
        <f>804*1281.1</f>
        <v>1030004.3999999999</v>
      </c>
      <c r="G1884" s="1">
        <f>1693*1281.1</f>
        <v>2168902.2999999998</v>
      </c>
      <c r="H1884" s="1">
        <f>390*1281.1</f>
        <v>499628.99999999994</v>
      </c>
      <c r="I1884" s="1">
        <v>0</v>
      </c>
      <c r="J1884" s="1">
        <f>467*1281.1</f>
        <v>598273.69999999995</v>
      </c>
      <c r="K1884" s="1">
        <v>0</v>
      </c>
      <c r="L1884" s="2">
        <v>0</v>
      </c>
      <c r="M1884" s="1">
        <v>0</v>
      </c>
      <c r="N1884" s="1">
        <v>0</v>
      </c>
      <c r="O1884" s="1">
        <v>0</v>
      </c>
      <c r="P1884" s="1">
        <v>0</v>
      </c>
      <c r="Q1884" s="1">
        <f t="shared" si="969"/>
        <v>0</v>
      </c>
      <c r="R1884" s="1">
        <v>630</v>
      </c>
      <c r="S1884" s="1">
        <f t="shared" si="967"/>
        <v>2363130</v>
      </c>
      <c r="T1884" s="1">
        <v>0</v>
      </c>
      <c r="U1884" s="1">
        <v>50000</v>
      </c>
      <c r="V1884" s="1">
        <v>0</v>
      </c>
      <c r="W1884" s="1">
        <v>0</v>
      </c>
      <c r="X1884" s="1">
        <v>0</v>
      </c>
      <c r="Y1884" s="1">
        <v>0</v>
      </c>
      <c r="Z1884" s="1">
        <v>0</v>
      </c>
      <c r="AA1884" s="1">
        <v>0</v>
      </c>
      <c r="AB1884" s="1">
        <v>0</v>
      </c>
      <c r="AC1884" s="1">
        <v>0</v>
      </c>
      <c r="AD1884" s="1">
        <v>0</v>
      </c>
    </row>
    <row r="1885" spans="1:30" s="20" customFormat="1" ht="36" customHeight="1" x14ac:dyDescent="0.25">
      <c r="A1885" s="2">
        <f t="shared" si="966"/>
        <v>1823</v>
      </c>
      <c r="B1885" s="6">
        <f t="shared" si="970"/>
        <v>1823</v>
      </c>
      <c r="C1885" s="19" t="s">
        <v>1147</v>
      </c>
      <c r="D1885" s="4">
        <f t="shared" si="962"/>
        <v>7522712</v>
      </c>
      <c r="E1885" s="1">
        <f t="shared" si="968"/>
        <v>7472712</v>
      </c>
      <c r="F1885" s="1">
        <f>804*2228</f>
        <v>1791312</v>
      </c>
      <c r="G1885" s="1">
        <f>1693*2228</f>
        <v>3772004</v>
      </c>
      <c r="H1885" s="1">
        <f>390*2228</f>
        <v>868920</v>
      </c>
      <c r="I1885" s="1">
        <v>0</v>
      </c>
      <c r="J1885" s="1">
        <f>467*2228</f>
        <v>1040476</v>
      </c>
      <c r="K1885" s="1">
        <v>0</v>
      </c>
      <c r="L1885" s="2">
        <v>0</v>
      </c>
      <c r="M1885" s="1">
        <v>0</v>
      </c>
      <c r="N1885" s="1">
        <v>0</v>
      </c>
      <c r="O1885" s="1">
        <v>0</v>
      </c>
      <c r="P1885" s="1">
        <v>0</v>
      </c>
      <c r="Q1885" s="1">
        <f t="shared" si="969"/>
        <v>0</v>
      </c>
      <c r="R1885" s="1">
        <v>0</v>
      </c>
      <c r="S1885" s="1">
        <f t="shared" si="967"/>
        <v>0</v>
      </c>
      <c r="T1885" s="1">
        <v>0</v>
      </c>
      <c r="U1885" s="1">
        <v>50000</v>
      </c>
      <c r="V1885" s="1">
        <v>0</v>
      </c>
      <c r="W1885" s="1">
        <v>0</v>
      </c>
      <c r="X1885" s="1">
        <v>0</v>
      </c>
      <c r="Y1885" s="1">
        <v>0</v>
      </c>
      <c r="Z1885" s="1">
        <v>0</v>
      </c>
      <c r="AA1885" s="1">
        <v>0</v>
      </c>
      <c r="AB1885" s="1">
        <v>0</v>
      </c>
      <c r="AC1885" s="1">
        <v>0</v>
      </c>
      <c r="AD1885" s="1">
        <v>0</v>
      </c>
    </row>
    <row r="1886" spans="1:30" s="20" customFormat="1" ht="36" customHeight="1" x14ac:dyDescent="0.25">
      <c r="A1886" s="2">
        <f t="shared" si="966"/>
        <v>1824</v>
      </c>
      <c r="B1886" s="6">
        <f t="shared" si="970"/>
        <v>1824</v>
      </c>
      <c r="C1886" s="19" t="s">
        <v>1148</v>
      </c>
      <c r="D1886" s="4">
        <f t="shared" si="962"/>
        <v>613443.19999999995</v>
      </c>
      <c r="E1886" s="1">
        <f t="shared" si="968"/>
        <v>563443.19999999995</v>
      </c>
      <c r="F1886" s="1">
        <f>804*700.8</f>
        <v>563443.19999999995</v>
      </c>
      <c r="G1886" s="1">
        <v>0</v>
      </c>
      <c r="H1886" s="1">
        <v>0</v>
      </c>
      <c r="I1886" s="1">
        <v>0</v>
      </c>
      <c r="J1886" s="1">
        <v>0</v>
      </c>
      <c r="K1886" s="1">
        <v>0</v>
      </c>
      <c r="L1886" s="2">
        <v>0</v>
      </c>
      <c r="M1886" s="1">
        <v>0</v>
      </c>
      <c r="N1886" s="1">
        <v>0</v>
      </c>
      <c r="O1886" s="1">
        <v>0</v>
      </c>
      <c r="P1886" s="1">
        <v>0</v>
      </c>
      <c r="Q1886" s="1">
        <f t="shared" si="969"/>
        <v>0</v>
      </c>
      <c r="R1886" s="1">
        <v>0</v>
      </c>
      <c r="S1886" s="1">
        <f t="shared" si="967"/>
        <v>0</v>
      </c>
      <c r="T1886" s="1">
        <v>0</v>
      </c>
      <c r="U1886" s="1">
        <v>50000</v>
      </c>
      <c r="V1886" s="1">
        <v>0</v>
      </c>
      <c r="W1886" s="1">
        <v>0</v>
      </c>
      <c r="X1886" s="1">
        <v>0</v>
      </c>
      <c r="Y1886" s="1">
        <v>0</v>
      </c>
      <c r="Z1886" s="1">
        <v>0</v>
      </c>
      <c r="AA1886" s="1">
        <v>0</v>
      </c>
      <c r="AB1886" s="1">
        <v>0</v>
      </c>
      <c r="AC1886" s="1">
        <v>0</v>
      </c>
      <c r="AD1886" s="1">
        <v>0</v>
      </c>
    </row>
    <row r="1887" spans="1:30" s="20" customFormat="1" ht="36" customHeight="1" x14ac:dyDescent="0.25">
      <c r="A1887" s="2">
        <f t="shared" si="966"/>
        <v>1825</v>
      </c>
      <c r="B1887" s="6">
        <f t="shared" si="970"/>
        <v>1825</v>
      </c>
      <c r="C1887" s="19" t="s">
        <v>2531</v>
      </c>
      <c r="D1887" s="4">
        <f t="shared" si="962"/>
        <v>2180123.7999999998</v>
      </c>
      <c r="E1887" s="1">
        <f t="shared" si="968"/>
        <v>808574.79999999993</v>
      </c>
      <c r="F1887" s="1">
        <f>804*486.8</f>
        <v>391387.2</v>
      </c>
      <c r="G1887" s="1">
        <v>0</v>
      </c>
      <c r="H1887" s="1">
        <f>390*486.8</f>
        <v>189852</v>
      </c>
      <c r="I1887" s="1">
        <v>0</v>
      </c>
      <c r="J1887" s="1">
        <f>467*486.8</f>
        <v>227335.6</v>
      </c>
      <c r="K1887" s="1">
        <v>0</v>
      </c>
      <c r="L1887" s="2">
        <v>0</v>
      </c>
      <c r="M1887" s="1">
        <v>0</v>
      </c>
      <c r="N1887" s="1">
        <v>0</v>
      </c>
      <c r="O1887" s="1">
        <v>0</v>
      </c>
      <c r="P1887" s="1">
        <v>0</v>
      </c>
      <c r="Q1887" s="1">
        <f t="shared" si="969"/>
        <v>0</v>
      </c>
      <c r="R1887" s="1">
        <v>299</v>
      </c>
      <c r="S1887" s="1">
        <f t="shared" si="967"/>
        <v>1121549</v>
      </c>
      <c r="T1887" s="1">
        <v>150000</v>
      </c>
      <c r="U1887" s="1">
        <v>50000</v>
      </c>
      <c r="V1887" s="1">
        <v>0</v>
      </c>
      <c r="W1887" s="1">
        <v>50000</v>
      </c>
      <c r="X1887" s="1">
        <v>0</v>
      </c>
      <c r="Y1887" s="1">
        <v>0</v>
      </c>
      <c r="Z1887" s="1">
        <v>0</v>
      </c>
      <c r="AA1887" s="1">
        <v>0</v>
      </c>
      <c r="AB1887" s="1">
        <v>0</v>
      </c>
      <c r="AC1887" s="1">
        <v>0</v>
      </c>
      <c r="AD1887" s="1">
        <v>0</v>
      </c>
    </row>
    <row r="1888" spans="1:30" s="20" customFormat="1" ht="36" customHeight="1" x14ac:dyDescent="0.25">
      <c r="A1888" s="2">
        <f t="shared" si="966"/>
        <v>1826</v>
      </c>
      <c r="B1888" s="2">
        <f t="shared" si="970"/>
        <v>1826</v>
      </c>
      <c r="C1888" s="19" t="s">
        <v>1666</v>
      </c>
      <c r="D1888" s="39">
        <f t="shared" si="962"/>
        <v>70000</v>
      </c>
      <c r="E1888" s="1">
        <f t="shared" si="968"/>
        <v>0</v>
      </c>
      <c r="F1888" s="1">
        <v>0</v>
      </c>
      <c r="G1888" s="1">
        <v>0</v>
      </c>
      <c r="H1888" s="1">
        <v>0</v>
      </c>
      <c r="I1888" s="1">
        <v>0</v>
      </c>
      <c r="J1888" s="1">
        <v>0</v>
      </c>
      <c r="K1888" s="1">
        <v>0</v>
      </c>
      <c r="L1888" s="2">
        <v>0</v>
      </c>
      <c r="M1888" s="1">
        <v>0</v>
      </c>
      <c r="N1888" s="1">
        <v>0</v>
      </c>
      <c r="O1888" s="1">
        <v>0</v>
      </c>
      <c r="P1888" s="1">
        <v>50</v>
      </c>
      <c r="Q1888" s="1">
        <f>P1888*1400</f>
        <v>70000</v>
      </c>
      <c r="R1888" s="1">
        <v>0</v>
      </c>
      <c r="S1888" s="1">
        <f t="shared" si="967"/>
        <v>0</v>
      </c>
      <c r="T1888" s="1">
        <v>0</v>
      </c>
      <c r="U1888" s="1">
        <v>0</v>
      </c>
      <c r="V1888" s="1">
        <v>0</v>
      </c>
      <c r="W1888" s="1">
        <v>0</v>
      </c>
      <c r="X1888" s="1">
        <v>0</v>
      </c>
      <c r="Y1888" s="1">
        <v>0</v>
      </c>
      <c r="Z1888" s="1">
        <v>0</v>
      </c>
      <c r="AA1888" s="1">
        <v>0</v>
      </c>
      <c r="AB1888" s="1">
        <v>0</v>
      </c>
      <c r="AC1888" s="1">
        <v>0</v>
      </c>
      <c r="AD1888" s="1">
        <v>0</v>
      </c>
    </row>
    <row r="1889" spans="1:30" s="20" customFormat="1" ht="40.15" customHeight="1" x14ac:dyDescent="0.25">
      <c r="A1889" s="3"/>
      <c r="B1889" s="70" t="s">
        <v>1149</v>
      </c>
      <c r="C1889" s="71"/>
      <c r="D1889" s="71"/>
      <c r="E1889" s="71"/>
      <c r="F1889" s="71"/>
      <c r="G1889" s="71"/>
      <c r="H1889" s="71"/>
      <c r="I1889" s="71"/>
      <c r="J1889" s="71"/>
      <c r="K1889" s="71"/>
      <c r="L1889" s="71"/>
      <c r="M1889" s="71"/>
      <c r="N1889" s="71"/>
      <c r="O1889" s="71"/>
      <c r="P1889" s="71"/>
      <c r="Q1889" s="71"/>
      <c r="R1889" s="71"/>
      <c r="S1889" s="71"/>
      <c r="T1889" s="71"/>
      <c r="U1889" s="71"/>
      <c r="V1889" s="71"/>
      <c r="W1889" s="71"/>
      <c r="X1889" s="71"/>
      <c r="Y1889" s="71"/>
      <c r="Z1889" s="71"/>
      <c r="AA1889" s="71"/>
      <c r="AB1889" s="71"/>
      <c r="AC1889" s="71"/>
      <c r="AD1889" s="71"/>
    </row>
    <row r="1890" spans="1:30" s="20" customFormat="1" ht="40.15" customHeight="1" x14ac:dyDescent="0.25">
      <c r="A1890" s="2"/>
      <c r="B1890" s="47" t="s">
        <v>1150</v>
      </c>
      <c r="C1890" s="48"/>
      <c r="D1890" s="4">
        <f t="shared" ref="D1890:AD1890" si="972">D1891+D1902+D2002+D2053+D2055+D2065+D2097+D2113+D2129+D2146+D2148+D2169+D2188+D2199+D2202+D2242+D2285+D2315+D2333+D2616+D2668+D2687+D2690+D2699+D2704+D2708+D2713</f>
        <v>11931954992.199995</v>
      </c>
      <c r="E1890" s="4">
        <f t="shared" si="972"/>
        <v>5835518895.3900013</v>
      </c>
      <c r="F1890" s="4">
        <f t="shared" si="972"/>
        <v>1281142661.5199997</v>
      </c>
      <c r="G1890" s="4">
        <f t="shared" si="972"/>
        <v>2494088361.9599991</v>
      </c>
      <c r="H1890" s="4">
        <f t="shared" si="972"/>
        <v>601633356.36000001</v>
      </c>
      <c r="I1890" s="4">
        <f t="shared" si="972"/>
        <v>733424495.79000008</v>
      </c>
      <c r="J1890" s="4">
        <f t="shared" si="972"/>
        <v>725230019.75999987</v>
      </c>
      <c r="K1890" s="4">
        <f t="shared" si="972"/>
        <v>0</v>
      </c>
      <c r="L1890" s="17">
        <f t="shared" si="972"/>
        <v>155</v>
      </c>
      <c r="M1890" s="4">
        <f t="shared" si="972"/>
        <v>542500000</v>
      </c>
      <c r="N1890" s="4">
        <f t="shared" si="972"/>
        <v>375733.38999999996</v>
      </c>
      <c r="O1890" s="4">
        <f t="shared" si="972"/>
        <v>2369747650.3600001</v>
      </c>
      <c r="P1890" s="4">
        <f t="shared" si="972"/>
        <v>5975</v>
      </c>
      <c r="Q1890" s="4">
        <f t="shared" si="972"/>
        <v>8365000</v>
      </c>
      <c r="R1890" s="4">
        <f t="shared" si="972"/>
        <v>823941.95000000007</v>
      </c>
      <c r="S1890" s="4">
        <f t="shared" si="972"/>
        <v>3080073446.4499998</v>
      </c>
      <c r="T1890" s="4">
        <f t="shared" si="972"/>
        <v>21900000</v>
      </c>
      <c r="U1890" s="4">
        <f t="shared" si="972"/>
        <v>46000000</v>
      </c>
      <c r="V1890" s="4">
        <f t="shared" si="972"/>
        <v>0</v>
      </c>
      <c r="W1890" s="4">
        <f t="shared" si="972"/>
        <v>27850000</v>
      </c>
      <c r="X1890" s="4">
        <f t="shared" si="972"/>
        <v>0</v>
      </c>
      <c r="Y1890" s="4">
        <f t="shared" si="972"/>
        <v>0</v>
      </c>
      <c r="Z1890" s="4">
        <f t="shared" si="972"/>
        <v>0</v>
      </c>
      <c r="AA1890" s="4">
        <f t="shared" si="972"/>
        <v>0</v>
      </c>
      <c r="AB1890" s="4">
        <f t="shared" si="972"/>
        <v>0</v>
      </c>
      <c r="AC1890" s="4">
        <f t="shared" si="972"/>
        <v>0</v>
      </c>
      <c r="AD1890" s="4">
        <f t="shared" si="972"/>
        <v>0</v>
      </c>
    </row>
    <row r="1891" spans="1:30" s="20" customFormat="1" ht="54.95" customHeight="1" x14ac:dyDescent="0.25">
      <c r="A1891" s="3"/>
      <c r="B1891" s="47" t="s">
        <v>1992</v>
      </c>
      <c r="C1891" s="48"/>
      <c r="D1891" s="4">
        <f>SUM(D1892:D1901)</f>
        <v>53305676.939999998</v>
      </c>
      <c r="E1891" s="4">
        <f t="shared" ref="E1891:AD1891" si="973">SUM(E1892:E1901)</f>
        <v>10531225.26</v>
      </c>
      <c r="F1891" s="4">
        <f t="shared" si="973"/>
        <v>2664126.3600000003</v>
      </c>
      <c r="G1891" s="4">
        <f t="shared" si="973"/>
        <v>5027352.2699999996</v>
      </c>
      <c r="H1891" s="4">
        <f t="shared" si="973"/>
        <v>1292300.1000000001</v>
      </c>
      <c r="I1891" s="4">
        <f t="shared" si="973"/>
        <v>0</v>
      </c>
      <c r="J1891" s="4">
        <f t="shared" si="973"/>
        <v>1547446.53</v>
      </c>
      <c r="K1891" s="4">
        <f t="shared" si="973"/>
        <v>0</v>
      </c>
      <c r="L1891" s="17">
        <f t="shared" si="973"/>
        <v>0</v>
      </c>
      <c r="M1891" s="4">
        <f t="shared" si="973"/>
        <v>0</v>
      </c>
      <c r="N1891" s="4">
        <f t="shared" si="973"/>
        <v>3241.2</v>
      </c>
      <c r="O1891" s="4">
        <f t="shared" si="973"/>
        <v>23950860</v>
      </c>
      <c r="P1891" s="4">
        <f t="shared" si="973"/>
        <v>0</v>
      </c>
      <c r="Q1891" s="4">
        <f t="shared" si="973"/>
        <v>0</v>
      </c>
      <c r="R1891" s="4">
        <f t="shared" si="973"/>
        <v>4791.68</v>
      </c>
      <c r="S1891" s="4">
        <f t="shared" si="973"/>
        <v>17973591.68</v>
      </c>
      <c r="T1891" s="4">
        <f t="shared" si="973"/>
        <v>0</v>
      </c>
      <c r="U1891" s="4">
        <f t="shared" si="973"/>
        <v>350000</v>
      </c>
      <c r="V1891" s="4">
        <f t="shared" si="973"/>
        <v>0</v>
      </c>
      <c r="W1891" s="4">
        <f t="shared" si="973"/>
        <v>500000</v>
      </c>
      <c r="X1891" s="4">
        <f t="shared" si="973"/>
        <v>0</v>
      </c>
      <c r="Y1891" s="4">
        <f t="shared" si="973"/>
        <v>0</v>
      </c>
      <c r="Z1891" s="4">
        <f t="shared" si="973"/>
        <v>0</v>
      </c>
      <c r="AA1891" s="4">
        <f t="shared" si="973"/>
        <v>0</v>
      </c>
      <c r="AB1891" s="4">
        <f t="shared" si="973"/>
        <v>0</v>
      </c>
      <c r="AC1891" s="4">
        <f t="shared" si="973"/>
        <v>0</v>
      </c>
      <c r="AD1891" s="4">
        <f t="shared" si="973"/>
        <v>0</v>
      </c>
    </row>
    <row r="1892" spans="1:30" s="20" customFormat="1" ht="36" customHeight="1" x14ac:dyDescent="0.25">
      <c r="A1892" s="2">
        <f>ROW()-ROW($A$11)-54</f>
        <v>1827</v>
      </c>
      <c r="B1892" s="6">
        <f t="shared" ref="B1892:B1901" si="974">A1892</f>
        <v>1827</v>
      </c>
      <c r="C1892" s="19" t="s">
        <v>1151</v>
      </c>
      <c r="D1892" s="4">
        <f>E1892+M1892+O1892+Q1892+S1892+U1892+V1892+W1892+X1892+Z1892+AA1892+AB1892+AC1892+AD1892</f>
        <v>3053200.64</v>
      </c>
      <c r="E1892" s="1">
        <f>SUM(F1892:J1892)</f>
        <v>0</v>
      </c>
      <c r="F1892" s="1">
        <v>0</v>
      </c>
      <c r="G1892" s="1">
        <v>0</v>
      </c>
      <c r="H1892" s="1">
        <v>0</v>
      </c>
      <c r="I1892" s="1">
        <v>0</v>
      </c>
      <c r="J1892" s="1">
        <v>0</v>
      </c>
      <c r="K1892" s="1">
        <v>0</v>
      </c>
      <c r="L1892" s="2">
        <v>0</v>
      </c>
      <c r="M1892" s="1">
        <v>0</v>
      </c>
      <c r="N1892" s="1">
        <v>0</v>
      </c>
      <c r="O1892" s="1">
        <v>0</v>
      </c>
      <c r="P1892" s="1">
        <v>0</v>
      </c>
      <c r="Q1892" s="1">
        <f t="shared" ref="Q1892:Q1901" si="975">P1892*1400</f>
        <v>0</v>
      </c>
      <c r="R1892" s="1">
        <v>800.64</v>
      </c>
      <c r="S1892" s="1">
        <f>R1892*3751</f>
        <v>3003200.64</v>
      </c>
      <c r="T1892" s="1">
        <v>0</v>
      </c>
      <c r="U1892" s="1">
        <v>0</v>
      </c>
      <c r="V1892" s="1">
        <v>0</v>
      </c>
      <c r="W1892" s="1">
        <v>50000</v>
      </c>
      <c r="X1892" s="1">
        <v>0</v>
      </c>
      <c r="Y1892" s="1">
        <v>0</v>
      </c>
      <c r="Z1892" s="1">
        <v>0</v>
      </c>
      <c r="AA1892" s="1">
        <v>0</v>
      </c>
      <c r="AB1892" s="1">
        <v>0</v>
      </c>
      <c r="AC1892" s="1">
        <v>0</v>
      </c>
      <c r="AD1892" s="1">
        <v>0</v>
      </c>
    </row>
    <row r="1893" spans="1:30" s="20" customFormat="1" ht="36" customHeight="1" x14ac:dyDescent="0.25">
      <c r="A1893" s="2">
        <f t="shared" ref="A1893:A1901" si="976">ROW()-ROW($A$11)-54</f>
        <v>1828</v>
      </c>
      <c r="B1893" s="6">
        <f t="shared" si="974"/>
        <v>1828</v>
      </c>
      <c r="C1893" s="32" t="s">
        <v>1152</v>
      </c>
      <c r="D1893" s="4">
        <f>E1893+M1893+O1893+Q1893+S1893+U1893+V1893+W1893+X1893+Z1893+AA1893+AB1893+AC1893+AD1893</f>
        <v>5682460.8399999999</v>
      </c>
      <c r="E1893" s="1">
        <f t="shared" ref="E1893:E1901" si="977">SUM(F1893:K1893)</f>
        <v>1298668.7999999998</v>
      </c>
      <c r="F1893" s="1">
        <f>804*387.2</f>
        <v>311308.79999999999</v>
      </c>
      <c r="G1893" s="1">
        <f>1693*387.2</f>
        <v>655529.6</v>
      </c>
      <c r="H1893" s="1">
        <f>390*387.2</f>
        <v>151008</v>
      </c>
      <c r="I1893" s="1">
        <v>0</v>
      </c>
      <c r="J1893" s="1">
        <f>467*387.2</f>
        <v>180822.39999999999</v>
      </c>
      <c r="K1893" s="1">
        <v>0</v>
      </c>
      <c r="L1893" s="2">
        <v>0</v>
      </c>
      <c r="M1893" s="1">
        <v>0</v>
      </c>
      <c r="N1893" s="1">
        <v>302.5</v>
      </c>
      <c r="O1893" s="1">
        <f>N1893*7750</f>
        <v>2344375</v>
      </c>
      <c r="P1893" s="1">
        <v>0</v>
      </c>
      <c r="Q1893" s="1">
        <f t="shared" si="975"/>
        <v>0</v>
      </c>
      <c r="R1893" s="1">
        <v>517.04</v>
      </c>
      <c r="S1893" s="1">
        <f t="shared" ref="S1893:S1901" si="978">R1893*3751</f>
        <v>1939417.0399999998</v>
      </c>
      <c r="T1893" s="1">
        <v>0</v>
      </c>
      <c r="U1893" s="1">
        <v>50000</v>
      </c>
      <c r="V1893" s="1">
        <v>0</v>
      </c>
      <c r="W1893" s="1">
        <v>50000</v>
      </c>
      <c r="X1893" s="1">
        <v>0</v>
      </c>
      <c r="Y1893" s="1">
        <v>0</v>
      </c>
      <c r="Z1893" s="1">
        <v>0</v>
      </c>
      <c r="AA1893" s="1">
        <v>0</v>
      </c>
      <c r="AB1893" s="1">
        <v>0</v>
      </c>
      <c r="AC1893" s="1">
        <v>0</v>
      </c>
      <c r="AD1893" s="1">
        <v>0</v>
      </c>
    </row>
    <row r="1894" spans="1:30" s="20" customFormat="1" ht="36" customHeight="1" x14ac:dyDescent="0.25">
      <c r="A1894" s="2">
        <f t="shared" si="976"/>
        <v>1829</v>
      </c>
      <c r="B1894" s="6">
        <f t="shared" si="974"/>
        <v>1829</v>
      </c>
      <c r="C1894" s="32" t="s">
        <v>1153</v>
      </c>
      <c r="D1894" s="4">
        <f t="shared" ref="D1894:D1901" si="979">E1894+M1894+O1894+Q1894+S1894+T1894+U1894+V1894+W1894+X1894+Z1894+AA1894+AB1894+AC1894+AD1894</f>
        <v>9315460.1999999993</v>
      </c>
      <c r="E1894" s="1">
        <f t="shared" si="977"/>
        <v>2521537.1999999997</v>
      </c>
      <c r="F1894" s="1">
        <f>804*751.8</f>
        <v>604447.19999999995</v>
      </c>
      <c r="G1894" s="1">
        <f>1693*751.8</f>
        <v>1272797.3999999999</v>
      </c>
      <c r="H1894" s="1">
        <f>390*751.8</f>
        <v>293202</v>
      </c>
      <c r="I1894" s="1">
        <v>0</v>
      </c>
      <c r="J1894" s="1">
        <f>467*751.8</f>
        <v>351090.6</v>
      </c>
      <c r="K1894" s="1">
        <v>0</v>
      </c>
      <c r="L1894" s="2">
        <v>0</v>
      </c>
      <c r="M1894" s="1">
        <v>0</v>
      </c>
      <c r="N1894" s="1">
        <v>538</v>
      </c>
      <c r="O1894" s="1">
        <f>N1894*7750</f>
        <v>4169500</v>
      </c>
      <c r="P1894" s="1">
        <v>0</v>
      </c>
      <c r="Q1894" s="1">
        <f t="shared" si="975"/>
        <v>0</v>
      </c>
      <c r="R1894" s="1">
        <v>673</v>
      </c>
      <c r="S1894" s="1">
        <f t="shared" si="978"/>
        <v>2524423</v>
      </c>
      <c r="T1894" s="1">
        <v>0</v>
      </c>
      <c r="U1894" s="1">
        <v>50000</v>
      </c>
      <c r="V1894" s="1">
        <v>0</v>
      </c>
      <c r="W1894" s="1">
        <v>50000</v>
      </c>
      <c r="X1894" s="1">
        <v>0</v>
      </c>
      <c r="Y1894" s="1">
        <v>0</v>
      </c>
      <c r="Z1894" s="1">
        <v>0</v>
      </c>
      <c r="AA1894" s="1">
        <v>0</v>
      </c>
      <c r="AB1894" s="1">
        <v>0</v>
      </c>
      <c r="AC1894" s="1">
        <v>0</v>
      </c>
      <c r="AD1894" s="1">
        <v>0</v>
      </c>
    </row>
    <row r="1895" spans="1:30" s="20" customFormat="1" ht="36" customHeight="1" x14ac:dyDescent="0.25">
      <c r="A1895" s="2">
        <f t="shared" si="976"/>
        <v>1830</v>
      </c>
      <c r="B1895" s="6">
        <f t="shared" si="974"/>
        <v>1830</v>
      </c>
      <c r="C1895" s="32" t="s">
        <v>1154</v>
      </c>
      <c r="D1895" s="4">
        <f t="shared" si="979"/>
        <v>8703158.1999999993</v>
      </c>
      <c r="E1895" s="1">
        <f t="shared" si="977"/>
        <v>2457811.1999999997</v>
      </c>
      <c r="F1895" s="1">
        <f>804*732.8</f>
        <v>589171.19999999995</v>
      </c>
      <c r="G1895" s="1">
        <f>1693*732.8</f>
        <v>1240630.3999999999</v>
      </c>
      <c r="H1895" s="1">
        <f>390*732.8</f>
        <v>285792</v>
      </c>
      <c r="I1895" s="1">
        <v>0</v>
      </c>
      <c r="J1895" s="1">
        <f>467*732.8</f>
        <v>342217.6</v>
      </c>
      <c r="K1895" s="1">
        <v>0</v>
      </c>
      <c r="L1895" s="2">
        <v>0</v>
      </c>
      <c r="M1895" s="1">
        <v>0</v>
      </c>
      <c r="N1895" s="1">
        <v>370.9</v>
      </c>
      <c r="O1895" s="1">
        <f t="shared" ref="O1895:O1901" si="980">N1895*7750</f>
        <v>2874475</v>
      </c>
      <c r="P1895" s="1">
        <v>0</v>
      </c>
      <c r="Q1895" s="1">
        <f t="shared" si="975"/>
        <v>0</v>
      </c>
      <c r="R1895" s="1">
        <v>872</v>
      </c>
      <c r="S1895" s="1">
        <f t="shared" si="978"/>
        <v>3270872</v>
      </c>
      <c r="T1895" s="1">
        <v>0</v>
      </c>
      <c r="U1895" s="1">
        <v>50000</v>
      </c>
      <c r="V1895" s="1">
        <v>0</v>
      </c>
      <c r="W1895" s="1">
        <v>50000</v>
      </c>
      <c r="X1895" s="1">
        <v>0</v>
      </c>
      <c r="Y1895" s="1">
        <v>0</v>
      </c>
      <c r="Z1895" s="1">
        <v>0</v>
      </c>
      <c r="AA1895" s="1">
        <v>0</v>
      </c>
      <c r="AB1895" s="1">
        <v>0</v>
      </c>
      <c r="AC1895" s="1">
        <v>0</v>
      </c>
      <c r="AD1895" s="1">
        <v>0</v>
      </c>
    </row>
    <row r="1896" spans="1:30" s="20" customFormat="1" ht="36" customHeight="1" x14ac:dyDescent="0.25">
      <c r="A1896" s="2">
        <f t="shared" si="976"/>
        <v>1831</v>
      </c>
      <c r="B1896" s="6">
        <f t="shared" si="974"/>
        <v>1831</v>
      </c>
      <c r="C1896" s="32" t="s">
        <v>1155</v>
      </c>
      <c r="D1896" s="4">
        <f t="shared" si="979"/>
        <v>5498832.4000000004</v>
      </c>
      <c r="E1896" s="1">
        <f t="shared" si="977"/>
        <v>1266470.4000000001</v>
      </c>
      <c r="F1896" s="1">
        <f>804*377.6</f>
        <v>303590.40000000002</v>
      </c>
      <c r="G1896" s="1">
        <f>1693*377.6</f>
        <v>639276.80000000005</v>
      </c>
      <c r="H1896" s="1">
        <f>390*377.6</f>
        <v>147264</v>
      </c>
      <c r="I1896" s="1">
        <v>0</v>
      </c>
      <c r="J1896" s="1">
        <f>467*377.6</f>
        <v>176339.20000000001</v>
      </c>
      <c r="K1896" s="1">
        <v>0</v>
      </c>
      <c r="L1896" s="2">
        <v>0</v>
      </c>
      <c r="M1896" s="1">
        <v>0</v>
      </c>
      <c r="N1896" s="1">
        <v>297.5</v>
      </c>
      <c r="O1896" s="1">
        <f t="shared" si="980"/>
        <v>2305625</v>
      </c>
      <c r="P1896" s="1">
        <v>0</v>
      </c>
      <c r="Q1896" s="1">
        <f t="shared" si="975"/>
        <v>0</v>
      </c>
      <c r="R1896" s="1">
        <v>487</v>
      </c>
      <c r="S1896" s="1">
        <f t="shared" si="978"/>
        <v>1826737</v>
      </c>
      <c r="T1896" s="1">
        <v>0</v>
      </c>
      <c r="U1896" s="1">
        <v>50000</v>
      </c>
      <c r="V1896" s="1">
        <v>0</v>
      </c>
      <c r="W1896" s="1">
        <v>50000</v>
      </c>
      <c r="X1896" s="1">
        <v>0</v>
      </c>
      <c r="Y1896" s="1">
        <v>0</v>
      </c>
      <c r="Z1896" s="1">
        <v>0</v>
      </c>
      <c r="AA1896" s="1">
        <v>0</v>
      </c>
      <c r="AB1896" s="1">
        <v>0</v>
      </c>
      <c r="AC1896" s="1">
        <v>0</v>
      </c>
      <c r="AD1896" s="1">
        <v>0</v>
      </c>
    </row>
    <row r="1897" spans="1:30" s="20" customFormat="1" ht="36" customHeight="1" x14ac:dyDescent="0.25">
      <c r="A1897" s="2">
        <f t="shared" si="976"/>
        <v>1832</v>
      </c>
      <c r="B1897" s="6">
        <f t="shared" si="974"/>
        <v>1832</v>
      </c>
      <c r="C1897" s="32" t="s">
        <v>1156</v>
      </c>
      <c r="D1897" s="4">
        <f t="shared" si="979"/>
        <v>5521363.6600000001</v>
      </c>
      <c r="E1897" s="1">
        <f t="shared" si="977"/>
        <v>1340895.6600000001</v>
      </c>
      <c r="F1897" s="1">
        <f>804*399.79</f>
        <v>321431.16000000003</v>
      </c>
      <c r="G1897" s="1">
        <f>1693*399.79</f>
        <v>676844.47000000009</v>
      </c>
      <c r="H1897" s="1">
        <f>390*399.79</f>
        <v>155918.1</v>
      </c>
      <c r="I1897" s="1">
        <v>0</v>
      </c>
      <c r="J1897" s="1">
        <f>467*399.79</f>
        <v>186701.93000000002</v>
      </c>
      <c r="K1897" s="1">
        <v>0</v>
      </c>
      <c r="L1897" s="2">
        <v>0</v>
      </c>
      <c r="M1897" s="1">
        <v>0</v>
      </c>
      <c r="N1897" s="1">
        <v>300</v>
      </c>
      <c r="O1897" s="1">
        <f t="shared" si="980"/>
        <v>2325000</v>
      </c>
      <c r="P1897" s="1">
        <v>0</v>
      </c>
      <c r="Q1897" s="1">
        <f t="shared" si="975"/>
        <v>0</v>
      </c>
      <c r="R1897" s="1">
        <v>468</v>
      </c>
      <c r="S1897" s="1">
        <f t="shared" si="978"/>
        <v>1755468</v>
      </c>
      <c r="T1897" s="1">
        <v>0</v>
      </c>
      <c r="U1897" s="1">
        <v>50000</v>
      </c>
      <c r="V1897" s="1">
        <v>0</v>
      </c>
      <c r="W1897" s="1">
        <v>50000</v>
      </c>
      <c r="X1897" s="1">
        <v>0</v>
      </c>
      <c r="Y1897" s="1">
        <v>0</v>
      </c>
      <c r="Z1897" s="1">
        <v>0</v>
      </c>
      <c r="AA1897" s="1">
        <v>0</v>
      </c>
      <c r="AB1897" s="1">
        <v>0</v>
      </c>
      <c r="AC1897" s="1">
        <v>0</v>
      </c>
      <c r="AD1897" s="1">
        <v>0</v>
      </c>
    </row>
    <row r="1898" spans="1:30" s="20" customFormat="1" ht="36" customHeight="1" x14ac:dyDescent="0.25">
      <c r="A1898" s="2">
        <f t="shared" si="976"/>
        <v>1833</v>
      </c>
      <c r="B1898" s="6">
        <f t="shared" si="974"/>
        <v>1833</v>
      </c>
      <c r="C1898" s="32" t="s">
        <v>1157</v>
      </c>
      <c r="D1898" s="4">
        <f t="shared" si="979"/>
        <v>2136560</v>
      </c>
      <c r="E1898" s="1">
        <f>SUM(F1898:K1898)</f>
        <v>0</v>
      </c>
      <c r="F1898" s="1">
        <v>0</v>
      </c>
      <c r="G1898" s="1">
        <v>0</v>
      </c>
      <c r="H1898" s="1">
        <v>0</v>
      </c>
      <c r="I1898" s="1">
        <v>0</v>
      </c>
      <c r="J1898" s="1">
        <v>0</v>
      </c>
      <c r="K1898" s="1">
        <v>0</v>
      </c>
      <c r="L1898" s="2">
        <v>0</v>
      </c>
      <c r="M1898" s="1">
        <v>0</v>
      </c>
      <c r="N1898" s="1">
        <v>420</v>
      </c>
      <c r="O1898" s="1">
        <f>N1898*4968</f>
        <v>2086560</v>
      </c>
      <c r="P1898" s="1">
        <v>0</v>
      </c>
      <c r="Q1898" s="1">
        <f t="shared" si="975"/>
        <v>0</v>
      </c>
      <c r="R1898" s="1">
        <v>0</v>
      </c>
      <c r="S1898" s="1">
        <f t="shared" si="978"/>
        <v>0</v>
      </c>
      <c r="T1898" s="1">
        <v>0</v>
      </c>
      <c r="U1898" s="1">
        <v>0</v>
      </c>
      <c r="V1898" s="1">
        <v>0</v>
      </c>
      <c r="W1898" s="1">
        <v>50000</v>
      </c>
      <c r="X1898" s="1">
        <v>0</v>
      </c>
      <c r="Y1898" s="1">
        <v>0</v>
      </c>
      <c r="Z1898" s="1">
        <v>0</v>
      </c>
      <c r="AA1898" s="1">
        <v>0</v>
      </c>
      <c r="AB1898" s="1">
        <v>0</v>
      </c>
      <c r="AC1898" s="1">
        <v>0</v>
      </c>
      <c r="AD1898" s="1">
        <v>0</v>
      </c>
    </row>
    <row r="1899" spans="1:30" s="20" customFormat="1" ht="36" customHeight="1" x14ac:dyDescent="0.25">
      <c r="A1899" s="2">
        <f t="shared" si="976"/>
        <v>1834</v>
      </c>
      <c r="B1899" s="6">
        <f t="shared" ref="B1899" si="981">A1899</f>
        <v>1834</v>
      </c>
      <c r="C1899" s="32" t="s">
        <v>2008</v>
      </c>
      <c r="D1899" s="4">
        <f t="shared" si="979"/>
        <v>4822450</v>
      </c>
      <c r="E1899" s="1">
        <f t="shared" ref="E1899" si="982">SUM(F1899:K1899)</f>
        <v>0</v>
      </c>
      <c r="F1899" s="1">
        <v>0</v>
      </c>
      <c r="G1899" s="1">
        <v>0</v>
      </c>
      <c r="H1899" s="1">
        <v>0</v>
      </c>
      <c r="I1899" s="1">
        <v>0</v>
      </c>
      <c r="J1899" s="1">
        <v>0</v>
      </c>
      <c r="K1899" s="1">
        <v>0</v>
      </c>
      <c r="L1899" s="2">
        <v>0</v>
      </c>
      <c r="M1899" s="1">
        <v>0</v>
      </c>
      <c r="N1899" s="1">
        <v>519</v>
      </c>
      <c r="O1899" s="1">
        <f>N1899*7750</f>
        <v>4022250</v>
      </c>
      <c r="P1899" s="1">
        <v>0</v>
      </c>
      <c r="Q1899" s="1">
        <f t="shared" ref="Q1899" si="983">P1899*1400</f>
        <v>0</v>
      </c>
      <c r="R1899" s="1">
        <v>200</v>
      </c>
      <c r="S1899" s="1">
        <f t="shared" ref="S1899" si="984">R1899*3751</f>
        <v>750200</v>
      </c>
      <c r="T1899" s="1">
        <v>0</v>
      </c>
      <c r="U1899" s="1">
        <v>0</v>
      </c>
      <c r="V1899" s="1">
        <v>0</v>
      </c>
      <c r="W1899" s="1">
        <v>50000</v>
      </c>
      <c r="X1899" s="1">
        <v>0</v>
      </c>
      <c r="Y1899" s="1">
        <v>0</v>
      </c>
      <c r="Z1899" s="1">
        <v>0</v>
      </c>
      <c r="AA1899" s="1">
        <v>0</v>
      </c>
      <c r="AB1899" s="1">
        <v>0</v>
      </c>
      <c r="AC1899" s="1">
        <v>0</v>
      </c>
      <c r="AD1899" s="1">
        <v>0</v>
      </c>
    </row>
    <row r="1900" spans="1:30" s="20" customFormat="1" ht="36" customHeight="1" x14ac:dyDescent="0.25">
      <c r="A1900" s="2">
        <f t="shared" si="976"/>
        <v>1835</v>
      </c>
      <c r="B1900" s="6">
        <f t="shared" si="974"/>
        <v>1835</v>
      </c>
      <c r="C1900" s="19" t="s">
        <v>1158</v>
      </c>
      <c r="D1900" s="4">
        <f t="shared" si="979"/>
        <v>4319123.4000000004</v>
      </c>
      <c r="E1900" s="1">
        <f t="shared" si="977"/>
        <v>1073615.4000000001</v>
      </c>
      <c r="F1900" s="1">
        <f>804*320.1</f>
        <v>257360.40000000002</v>
      </c>
      <c r="G1900" s="1">
        <f>1693*320.1</f>
        <v>541929.30000000005</v>
      </c>
      <c r="H1900" s="1">
        <f>390*320.1</f>
        <v>124839.00000000001</v>
      </c>
      <c r="I1900" s="1">
        <v>0</v>
      </c>
      <c r="J1900" s="1">
        <f>467*320.1</f>
        <v>149486.70000000001</v>
      </c>
      <c r="K1900" s="1">
        <v>0</v>
      </c>
      <c r="L1900" s="2">
        <v>0</v>
      </c>
      <c r="M1900" s="1">
        <v>0</v>
      </c>
      <c r="N1900" s="1">
        <v>232.6</v>
      </c>
      <c r="O1900" s="1">
        <f t="shared" si="980"/>
        <v>1802650</v>
      </c>
      <c r="P1900" s="1">
        <v>0</v>
      </c>
      <c r="Q1900" s="1">
        <f t="shared" si="975"/>
        <v>0</v>
      </c>
      <c r="R1900" s="1">
        <v>358</v>
      </c>
      <c r="S1900" s="1">
        <f t="shared" si="978"/>
        <v>1342858</v>
      </c>
      <c r="T1900" s="1">
        <v>0</v>
      </c>
      <c r="U1900" s="1">
        <v>50000</v>
      </c>
      <c r="V1900" s="1">
        <v>0</v>
      </c>
      <c r="W1900" s="1">
        <v>50000</v>
      </c>
      <c r="X1900" s="1">
        <v>0</v>
      </c>
      <c r="Y1900" s="1">
        <v>0</v>
      </c>
      <c r="Z1900" s="1">
        <v>0</v>
      </c>
      <c r="AA1900" s="1">
        <v>0</v>
      </c>
      <c r="AB1900" s="1">
        <v>0</v>
      </c>
      <c r="AC1900" s="1">
        <v>0</v>
      </c>
      <c r="AD1900" s="1">
        <v>0</v>
      </c>
    </row>
    <row r="1901" spans="1:30" s="20" customFormat="1" ht="36" customHeight="1" x14ac:dyDescent="0.25">
      <c r="A1901" s="2">
        <f t="shared" si="976"/>
        <v>1836</v>
      </c>
      <c r="B1901" s="6">
        <f t="shared" si="974"/>
        <v>1836</v>
      </c>
      <c r="C1901" s="19" t="s">
        <v>1159</v>
      </c>
      <c r="D1901" s="4">
        <f t="shared" si="979"/>
        <v>4253067.5999999996</v>
      </c>
      <c r="E1901" s="1">
        <f t="shared" si="977"/>
        <v>572226.6</v>
      </c>
      <c r="F1901" s="1">
        <f>804*344.3</f>
        <v>276817.2</v>
      </c>
      <c r="G1901" s="1">
        <v>344.3</v>
      </c>
      <c r="H1901" s="1">
        <f>390*344.3</f>
        <v>134277</v>
      </c>
      <c r="I1901" s="1">
        <v>0</v>
      </c>
      <c r="J1901" s="1">
        <f>467*344.3</f>
        <v>160788.1</v>
      </c>
      <c r="K1901" s="1">
        <v>0</v>
      </c>
      <c r="L1901" s="2">
        <v>0</v>
      </c>
      <c r="M1901" s="1">
        <v>0</v>
      </c>
      <c r="N1901" s="1">
        <v>260.7</v>
      </c>
      <c r="O1901" s="1">
        <f t="shared" si="980"/>
        <v>2020425</v>
      </c>
      <c r="P1901" s="1">
        <v>0</v>
      </c>
      <c r="Q1901" s="1">
        <f t="shared" si="975"/>
        <v>0</v>
      </c>
      <c r="R1901" s="1">
        <v>416</v>
      </c>
      <c r="S1901" s="1">
        <f t="shared" si="978"/>
        <v>1560416</v>
      </c>
      <c r="T1901" s="1">
        <v>0</v>
      </c>
      <c r="U1901" s="1">
        <v>50000</v>
      </c>
      <c r="V1901" s="1">
        <v>0</v>
      </c>
      <c r="W1901" s="1">
        <v>50000</v>
      </c>
      <c r="X1901" s="1">
        <v>0</v>
      </c>
      <c r="Y1901" s="1">
        <v>0</v>
      </c>
      <c r="Z1901" s="1">
        <v>0</v>
      </c>
      <c r="AA1901" s="1">
        <v>0</v>
      </c>
      <c r="AB1901" s="1">
        <v>0</v>
      </c>
      <c r="AC1901" s="1">
        <v>0</v>
      </c>
      <c r="AD1901" s="1">
        <v>0</v>
      </c>
    </row>
    <row r="1902" spans="1:30" s="20" customFormat="1" ht="54.95" customHeight="1" x14ac:dyDescent="0.25">
      <c r="A1902" s="3"/>
      <c r="B1902" s="47" t="s">
        <v>1966</v>
      </c>
      <c r="C1902" s="48"/>
      <c r="D1902" s="4">
        <f>SUM(D1903:D2001)</f>
        <v>1634931758.6599998</v>
      </c>
      <c r="E1902" s="4">
        <f t="shared" ref="E1902:AD1902" si="985">SUM(E1903:E2001)</f>
        <v>930282581.35000002</v>
      </c>
      <c r="F1902" s="4">
        <f t="shared" si="985"/>
        <v>203715839.64000013</v>
      </c>
      <c r="G1902" s="4">
        <f t="shared" si="985"/>
        <v>400105724.99000019</v>
      </c>
      <c r="H1902" s="4">
        <f t="shared" si="985"/>
        <v>95376321.299999997</v>
      </c>
      <c r="I1902" s="4">
        <f t="shared" si="985"/>
        <v>116877664.53000002</v>
      </c>
      <c r="J1902" s="4">
        <f t="shared" si="985"/>
        <v>114207030.89000006</v>
      </c>
      <c r="K1902" s="4">
        <f t="shared" si="985"/>
        <v>0</v>
      </c>
      <c r="L1902" s="17">
        <f t="shared" si="985"/>
        <v>0</v>
      </c>
      <c r="M1902" s="4">
        <f t="shared" si="985"/>
        <v>0</v>
      </c>
      <c r="N1902" s="4">
        <f t="shared" si="985"/>
        <v>45111.67</v>
      </c>
      <c r="O1902" s="4">
        <f t="shared" si="985"/>
        <v>284022086.36000001</v>
      </c>
      <c r="P1902" s="4">
        <f t="shared" si="985"/>
        <v>2050</v>
      </c>
      <c r="Q1902" s="4">
        <f t="shared" si="985"/>
        <v>2870000</v>
      </c>
      <c r="R1902" s="4">
        <f t="shared" si="985"/>
        <v>108353.44999999998</v>
      </c>
      <c r="S1902" s="4">
        <f t="shared" si="985"/>
        <v>400057090.94999993</v>
      </c>
      <c r="T1902" s="4">
        <f t="shared" si="985"/>
        <v>9450000</v>
      </c>
      <c r="U1902" s="4">
        <f t="shared" si="985"/>
        <v>4800000</v>
      </c>
      <c r="V1902" s="4">
        <f t="shared" si="985"/>
        <v>0</v>
      </c>
      <c r="W1902" s="4">
        <f t="shared" si="985"/>
        <v>3450000</v>
      </c>
      <c r="X1902" s="4">
        <f t="shared" si="985"/>
        <v>0</v>
      </c>
      <c r="Y1902" s="4">
        <f t="shared" si="985"/>
        <v>0</v>
      </c>
      <c r="Z1902" s="4">
        <f t="shared" si="985"/>
        <v>0</v>
      </c>
      <c r="AA1902" s="4">
        <f t="shared" si="985"/>
        <v>0</v>
      </c>
      <c r="AB1902" s="4">
        <f t="shared" si="985"/>
        <v>0</v>
      </c>
      <c r="AC1902" s="4">
        <f t="shared" si="985"/>
        <v>0</v>
      </c>
      <c r="AD1902" s="4">
        <f t="shared" si="985"/>
        <v>0</v>
      </c>
    </row>
    <row r="1903" spans="1:30" s="20" customFormat="1" ht="36" customHeight="1" x14ac:dyDescent="0.25">
      <c r="A1903" s="2">
        <f>ROW()-ROW($A$11)-55</f>
        <v>1837</v>
      </c>
      <c r="B1903" s="3">
        <f>A1903</f>
        <v>1837</v>
      </c>
      <c r="C1903" s="19" t="s">
        <v>1160</v>
      </c>
      <c r="D1903" s="4">
        <f t="shared" ref="D1903:D1934" si="986">E1903+M1903+O1903+Q1903+S1903+T1903+U1903+V1903+W1903+X1903+Z1903+AA1903+AB1903+AC1903+AD1903</f>
        <v>32546193</v>
      </c>
      <c r="E1903" s="1">
        <f>SUM(F1903:K1903)</f>
        <v>17617755</v>
      </c>
      <c r="F1903" s="1">
        <f>804*4488.6</f>
        <v>3608834.4000000004</v>
      </c>
      <c r="G1903" s="1">
        <f>1693*4488.6</f>
        <v>7599199.8000000007</v>
      </c>
      <c r="H1903" s="1">
        <f>390*4488.6</f>
        <v>1750554.0000000002</v>
      </c>
      <c r="I1903" s="1">
        <f>571*4488.6</f>
        <v>2562990.6</v>
      </c>
      <c r="J1903" s="1">
        <f>467*4488.6</f>
        <v>2096176.2000000002</v>
      </c>
      <c r="K1903" s="1">
        <v>0</v>
      </c>
      <c r="L1903" s="2">
        <v>0</v>
      </c>
      <c r="M1903" s="1">
        <v>0</v>
      </c>
      <c r="N1903" s="1">
        <v>1139</v>
      </c>
      <c r="O1903" s="1">
        <f>N1903*4968</f>
        <v>5658552</v>
      </c>
      <c r="P1903" s="1">
        <v>50</v>
      </c>
      <c r="Q1903" s="1">
        <f>P1903*1400</f>
        <v>70000</v>
      </c>
      <c r="R1903" s="1">
        <v>2386</v>
      </c>
      <c r="S1903" s="1">
        <f>R1903*3751</f>
        <v>8949886</v>
      </c>
      <c r="T1903" s="1">
        <v>150000</v>
      </c>
      <c r="U1903" s="1">
        <v>50000</v>
      </c>
      <c r="V1903" s="1">
        <v>0</v>
      </c>
      <c r="W1903" s="1">
        <v>50000</v>
      </c>
      <c r="X1903" s="1">
        <v>0</v>
      </c>
      <c r="Y1903" s="1">
        <v>0</v>
      </c>
      <c r="Z1903" s="1">
        <v>0</v>
      </c>
      <c r="AA1903" s="1">
        <v>0</v>
      </c>
      <c r="AB1903" s="1">
        <v>0</v>
      </c>
      <c r="AC1903" s="1">
        <v>0</v>
      </c>
      <c r="AD1903" s="1">
        <v>0</v>
      </c>
    </row>
    <row r="1904" spans="1:30" s="20" customFormat="1" ht="36" customHeight="1" x14ac:dyDescent="0.25">
      <c r="A1904" s="2">
        <f t="shared" ref="A1904:A1969" si="987">ROW()-ROW($A$11)-55</f>
        <v>1838</v>
      </c>
      <c r="B1904" s="3">
        <f>A1904</f>
        <v>1838</v>
      </c>
      <c r="C1904" s="19" t="s">
        <v>1683</v>
      </c>
      <c r="D1904" s="4">
        <f t="shared" si="986"/>
        <v>5514800</v>
      </c>
      <c r="E1904" s="1">
        <f>SUM(F1904:K1904)</f>
        <v>0</v>
      </c>
      <c r="F1904" s="1">
        <v>0</v>
      </c>
      <c r="G1904" s="1">
        <v>0</v>
      </c>
      <c r="H1904" s="1">
        <v>0</v>
      </c>
      <c r="I1904" s="1">
        <v>0</v>
      </c>
      <c r="J1904" s="1">
        <v>0</v>
      </c>
      <c r="K1904" s="1">
        <v>0</v>
      </c>
      <c r="L1904" s="2">
        <v>0</v>
      </c>
      <c r="M1904" s="1">
        <v>0</v>
      </c>
      <c r="N1904" s="1">
        <v>1100</v>
      </c>
      <c r="O1904" s="1">
        <f>N1904*4968</f>
        <v>5464800</v>
      </c>
      <c r="P1904" s="1">
        <v>0</v>
      </c>
      <c r="Q1904" s="1">
        <f>P1904*1400</f>
        <v>0</v>
      </c>
      <c r="R1904" s="1">
        <v>0</v>
      </c>
      <c r="S1904" s="1">
        <f>R1904*3751</f>
        <v>0</v>
      </c>
      <c r="T1904" s="1">
        <v>0</v>
      </c>
      <c r="U1904" s="1">
        <v>0</v>
      </c>
      <c r="V1904" s="1">
        <v>0</v>
      </c>
      <c r="W1904" s="1">
        <v>50000</v>
      </c>
      <c r="X1904" s="1">
        <v>0</v>
      </c>
      <c r="Y1904" s="1">
        <v>0</v>
      </c>
      <c r="Z1904" s="1">
        <v>0</v>
      </c>
      <c r="AA1904" s="1">
        <v>0</v>
      </c>
      <c r="AB1904" s="1">
        <v>0</v>
      </c>
      <c r="AC1904" s="1">
        <v>0</v>
      </c>
      <c r="AD1904" s="1">
        <v>0</v>
      </c>
    </row>
    <row r="1905" spans="1:30" s="20" customFormat="1" ht="36" customHeight="1" x14ac:dyDescent="0.25">
      <c r="A1905" s="2">
        <f t="shared" si="987"/>
        <v>1839</v>
      </c>
      <c r="B1905" s="3">
        <f t="shared" ref="B1905:B1994" si="988">A1905</f>
        <v>1839</v>
      </c>
      <c r="C1905" s="19" t="s">
        <v>1161</v>
      </c>
      <c r="D1905" s="4">
        <f t="shared" si="986"/>
        <v>50414553.5</v>
      </c>
      <c r="E1905" s="1">
        <f t="shared" ref="E1905:E1990" si="989">SUM(F1905:K1905)</f>
        <v>29165497.499999996</v>
      </c>
      <c r="F1905" s="1">
        <f>804*7430.7</f>
        <v>5974282.7999999998</v>
      </c>
      <c r="G1905" s="1">
        <f>1693*7430.7</f>
        <v>12580175.1</v>
      </c>
      <c r="H1905" s="1">
        <f>390*7430.7</f>
        <v>2897973</v>
      </c>
      <c r="I1905" s="1">
        <f>571*7430.7</f>
        <v>4242929.7</v>
      </c>
      <c r="J1905" s="1">
        <f>467*7430.7</f>
        <v>3470136.9</v>
      </c>
      <c r="K1905" s="1">
        <v>0</v>
      </c>
      <c r="L1905" s="2">
        <v>0</v>
      </c>
      <c r="M1905" s="1">
        <v>0</v>
      </c>
      <c r="N1905" s="1">
        <v>1096</v>
      </c>
      <c r="O1905" s="1">
        <f>N1905*4968</f>
        <v>5444928</v>
      </c>
      <c r="P1905" s="1">
        <v>50</v>
      </c>
      <c r="Q1905" s="1">
        <f>P1905*1400</f>
        <v>70000</v>
      </c>
      <c r="R1905" s="1">
        <v>4128</v>
      </c>
      <c r="S1905" s="1">
        <f>R1905*3751</f>
        <v>15484128</v>
      </c>
      <c r="T1905" s="1">
        <v>150000</v>
      </c>
      <c r="U1905" s="1">
        <v>50000</v>
      </c>
      <c r="V1905" s="1">
        <v>0</v>
      </c>
      <c r="W1905" s="1">
        <v>50000</v>
      </c>
      <c r="X1905" s="1">
        <v>0</v>
      </c>
      <c r="Y1905" s="1">
        <v>0</v>
      </c>
      <c r="Z1905" s="1">
        <v>0</v>
      </c>
      <c r="AA1905" s="1">
        <v>0</v>
      </c>
      <c r="AB1905" s="1">
        <v>0</v>
      </c>
      <c r="AC1905" s="1">
        <v>0</v>
      </c>
      <c r="AD1905" s="1">
        <v>0</v>
      </c>
    </row>
    <row r="1906" spans="1:30" s="20" customFormat="1" ht="36" customHeight="1" x14ac:dyDescent="0.25">
      <c r="A1906" s="2">
        <f t="shared" si="987"/>
        <v>1840</v>
      </c>
      <c r="B1906" s="3">
        <f t="shared" si="988"/>
        <v>1840</v>
      </c>
      <c r="C1906" s="19" t="s">
        <v>1162</v>
      </c>
      <c r="D1906" s="4">
        <f t="shared" si="986"/>
        <v>6863842.5</v>
      </c>
      <c r="E1906" s="1">
        <f t="shared" si="989"/>
        <v>1429092.5000000002</v>
      </c>
      <c r="F1906" s="1">
        <f>804*364.1</f>
        <v>292736.40000000002</v>
      </c>
      <c r="G1906" s="1">
        <f>1693*364.1</f>
        <v>616421.30000000005</v>
      </c>
      <c r="H1906" s="1">
        <f>390*364.1</f>
        <v>141999</v>
      </c>
      <c r="I1906" s="1">
        <f>571*364.1</f>
        <v>207901.1</v>
      </c>
      <c r="J1906" s="1">
        <f>467*364.1</f>
        <v>170034.7</v>
      </c>
      <c r="K1906" s="1">
        <v>0</v>
      </c>
      <c r="L1906" s="2">
        <v>0</v>
      </c>
      <c r="M1906" s="1">
        <v>0</v>
      </c>
      <c r="N1906" s="1">
        <v>548</v>
      </c>
      <c r="O1906" s="1">
        <f>N1906*7750</f>
        <v>4247000</v>
      </c>
      <c r="P1906" s="1">
        <v>0</v>
      </c>
      <c r="Q1906" s="1">
        <f>P1906*1400</f>
        <v>0</v>
      </c>
      <c r="R1906" s="1">
        <v>250</v>
      </c>
      <c r="S1906" s="1">
        <f>R1906*3751</f>
        <v>937750</v>
      </c>
      <c r="T1906" s="1">
        <v>150000</v>
      </c>
      <c r="U1906" s="1">
        <v>50000</v>
      </c>
      <c r="V1906" s="1">
        <v>0</v>
      </c>
      <c r="W1906" s="1">
        <v>50000</v>
      </c>
      <c r="X1906" s="1">
        <v>0</v>
      </c>
      <c r="Y1906" s="1">
        <v>0</v>
      </c>
      <c r="Z1906" s="1">
        <v>0</v>
      </c>
      <c r="AA1906" s="1">
        <v>0</v>
      </c>
      <c r="AB1906" s="1">
        <v>0</v>
      </c>
      <c r="AC1906" s="1">
        <v>0</v>
      </c>
      <c r="AD1906" s="1">
        <v>0</v>
      </c>
    </row>
    <row r="1907" spans="1:30" s="20" customFormat="1" ht="36" customHeight="1" x14ac:dyDescent="0.25">
      <c r="A1907" s="2">
        <f t="shared" si="987"/>
        <v>1841</v>
      </c>
      <c r="B1907" s="3">
        <f t="shared" si="988"/>
        <v>1841</v>
      </c>
      <c r="C1907" s="19" t="s">
        <v>1163</v>
      </c>
      <c r="D1907" s="4">
        <f t="shared" si="986"/>
        <v>9723796</v>
      </c>
      <c r="E1907" s="1">
        <f t="shared" si="989"/>
        <v>624536</v>
      </c>
      <c r="F1907" s="1">
        <f>804*376</f>
        <v>302304</v>
      </c>
      <c r="G1907" s="1">
        <v>0</v>
      </c>
      <c r="H1907" s="1">
        <f>390*376</f>
        <v>146640</v>
      </c>
      <c r="I1907" s="1">
        <v>0</v>
      </c>
      <c r="J1907" s="1">
        <f>467*376</f>
        <v>175592</v>
      </c>
      <c r="K1907" s="1">
        <v>0</v>
      </c>
      <c r="L1907" s="2">
        <v>0</v>
      </c>
      <c r="M1907" s="1">
        <v>0</v>
      </c>
      <c r="N1907" s="1">
        <v>1016</v>
      </c>
      <c r="O1907" s="1">
        <f>N1907*7750</f>
        <v>7874000</v>
      </c>
      <c r="P1907" s="1">
        <v>0</v>
      </c>
      <c r="Q1907" s="1">
        <f t="shared" ref="Q1907:Q1946" si="990">P1907*1400</f>
        <v>0</v>
      </c>
      <c r="R1907" s="1">
        <v>260</v>
      </c>
      <c r="S1907" s="1">
        <f t="shared" ref="S1907:S1946" si="991">R1907*3751</f>
        <v>975260</v>
      </c>
      <c r="T1907" s="1">
        <v>150000</v>
      </c>
      <c r="U1907" s="1">
        <v>50000</v>
      </c>
      <c r="V1907" s="1">
        <v>0</v>
      </c>
      <c r="W1907" s="1">
        <v>50000</v>
      </c>
      <c r="X1907" s="1">
        <v>0</v>
      </c>
      <c r="Y1907" s="1">
        <v>0</v>
      </c>
      <c r="Z1907" s="1">
        <v>0</v>
      </c>
      <c r="AA1907" s="1">
        <v>0</v>
      </c>
      <c r="AB1907" s="1">
        <v>0</v>
      </c>
      <c r="AC1907" s="1">
        <v>0</v>
      </c>
      <c r="AD1907" s="1">
        <v>0</v>
      </c>
    </row>
    <row r="1908" spans="1:30" s="20" customFormat="1" ht="36" customHeight="1" x14ac:dyDescent="0.25">
      <c r="A1908" s="2">
        <f t="shared" si="987"/>
        <v>1842</v>
      </c>
      <c r="B1908" s="3">
        <f t="shared" si="988"/>
        <v>1842</v>
      </c>
      <c r="C1908" s="19" t="s">
        <v>1164</v>
      </c>
      <c r="D1908" s="4">
        <f t="shared" si="986"/>
        <v>9476812.4000000004</v>
      </c>
      <c r="E1908" s="1">
        <f t="shared" si="989"/>
        <v>611912.39999999991</v>
      </c>
      <c r="F1908" s="1">
        <f>804*368.4</f>
        <v>296193.59999999998</v>
      </c>
      <c r="G1908" s="1">
        <v>0</v>
      </c>
      <c r="H1908" s="1">
        <f>390*368.4</f>
        <v>143676</v>
      </c>
      <c r="I1908" s="1">
        <v>0</v>
      </c>
      <c r="J1908" s="1">
        <f>467*368.4</f>
        <v>172042.8</v>
      </c>
      <c r="K1908" s="1">
        <v>0</v>
      </c>
      <c r="L1908" s="2">
        <v>0</v>
      </c>
      <c r="M1908" s="1">
        <v>0</v>
      </c>
      <c r="N1908" s="1">
        <v>918</v>
      </c>
      <c r="O1908" s="1">
        <f>N1908*7750</f>
        <v>7114500</v>
      </c>
      <c r="P1908" s="1">
        <v>0</v>
      </c>
      <c r="Q1908" s="1">
        <f t="shared" si="990"/>
        <v>0</v>
      </c>
      <c r="R1908" s="1">
        <v>400</v>
      </c>
      <c r="S1908" s="1">
        <f t="shared" si="991"/>
        <v>1500400</v>
      </c>
      <c r="T1908" s="1">
        <v>150000</v>
      </c>
      <c r="U1908" s="1">
        <v>50000</v>
      </c>
      <c r="V1908" s="1">
        <v>0</v>
      </c>
      <c r="W1908" s="1">
        <v>50000</v>
      </c>
      <c r="X1908" s="1">
        <v>0</v>
      </c>
      <c r="Y1908" s="1">
        <v>0</v>
      </c>
      <c r="Z1908" s="1">
        <v>0</v>
      </c>
      <c r="AA1908" s="1">
        <v>0</v>
      </c>
      <c r="AB1908" s="1">
        <v>0</v>
      </c>
      <c r="AC1908" s="1">
        <v>0</v>
      </c>
      <c r="AD1908" s="1">
        <v>0</v>
      </c>
    </row>
    <row r="1909" spans="1:30" s="20" customFormat="1" ht="36" customHeight="1" x14ac:dyDescent="0.25">
      <c r="A1909" s="2">
        <f t="shared" si="987"/>
        <v>1843</v>
      </c>
      <c r="B1909" s="3">
        <f t="shared" si="988"/>
        <v>1843</v>
      </c>
      <c r="C1909" s="19" t="s">
        <v>1165</v>
      </c>
      <c r="D1909" s="4">
        <f t="shared" si="986"/>
        <v>41145698.5</v>
      </c>
      <c r="E1909" s="1">
        <f t="shared" si="989"/>
        <v>25142372.499999996</v>
      </c>
      <c r="F1909" s="1">
        <f>804*6405.7</f>
        <v>5150182.8</v>
      </c>
      <c r="G1909" s="1">
        <f>1693*6405.7</f>
        <v>10844850.1</v>
      </c>
      <c r="H1909" s="1">
        <f>390*6405.7</f>
        <v>2498223</v>
      </c>
      <c r="I1909" s="1">
        <f>571*6405.7</f>
        <v>3657654.6999999997</v>
      </c>
      <c r="J1909" s="1">
        <f>467*6405.7</f>
        <v>2991461.9</v>
      </c>
      <c r="K1909" s="1">
        <v>0</v>
      </c>
      <c r="L1909" s="2">
        <v>0</v>
      </c>
      <c r="M1909" s="1">
        <v>0</v>
      </c>
      <c r="N1909" s="1">
        <v>1301</v>
      </c>
      <c r="O1909" s="1">
        <f>N1909*4968</f>
        <v>6463368</v>
      </c>
      <c r="P1909" s="1">
        <v>50</v>
      </c>
      <c r="Q1909" s="1">
        <f t="shared" si="990"/>
        <v>70000</v>
      </c>
      <c r="R1909" s="1">
        <v>2458</v>
      </c>
      <c r="S1909" s="1">
        <f t="shared" si="991"/>
        <v>9219958</v>
      </c>
      <c r="T1909" s="1">
        <v>150000</v>
      </c>
      <c r="U1909" s="1">
        <v>50000</v>
      </c>
      <c r="V1909" s="1">
        <v>0</v>
      </c>
      <c r="W1909" s="1">
        <v>50000</v>
      </c>
      <c r="X1909" s="1">
        <v>0</v>
      </c>
      <c r="Y1909" s="1">
        <v>0</v>
      </c>
      <c r="Z1909" s="1">
        <v>0</v>
      </c>
      <c r="AA1909" s="1">
        <v>0</v>
      </c>
      <c r="AB1909" s="1">
        <v>0</v>
      </c>
      <c r="AC1909" s="1">
        <v>0</v>
      </c>
      <c r="AD1909" s="1">
        <v>0</v>
      </c>
    </row>
    <row r="1910" spans="1:30" s="20" customFormat="1" ht="36" customHeight="1" x14ac:dyDescent="0.25">
      <c r="A1910" s="2">
        <f t="shared" si="987"/>
        <v>1844</v>
      </c>
      <c r="B1910" s="3">
        <f t="shared" si="988"/>
        <v>1844</v>
      </c>
      <c r="C1910" s="19" t="s">
        <v>1166</v>
      </c>
      <c r="D1910" s="4">
        <f t="shared" si="986"/>
        <v>29759347.000000004</v>
      </c>
      <c r="E1910" s="1">
        <f t="shared" si="989"/>
        <v>17473315.000000004</v>
      </c>
      <c r="F1910" s="1">
        <f>804*4451.8</f>
        <v>3579247.2</v>
      </c>
      <c r="G1910" s="1">
        <f>1693*4451.8</f>
        <v>7536897.4000000004</v>
      </c>
      <c r="H1910" s="1">
        <f>390*4451.8</f>
        <v>1736202</v>
      </c>
      <c r="I1910" s="1">
        <f>571*4451.8</f>
        <v>2541977.8000000003</v>
      </c>
      <c r="J1910" s="1">
        <f>467*4451.8</f>
        <v>2078990.6</v>
      </c>
      <c r="K1910" s="1">
        <v>0</v>
      </c>
      <c r="L1910" s="2">
        <v>0</v>
      </c>
      <c r="M1910" s="1">
        <v>0</v>
      </c>
      <c r="N1910" s="1">
        <v>965</v>
      </c>
      <c r="O1910" s="1">
        <f t="shared" ref="O1910:O1924" si="992">N1910*4968</f>
        <v>4794120</v>
      </c>
      <c r="P1910" s="1">
        <v>50</v>
      </c>
      <c r="Q1910" s="1">
        <f t="shared" si="990"/>
        <v>70000</v>
      </c>
      <c r="R1910" s="1">
        <v>1912</v>
      </c>
      <c r="S1910" s="1">
        <f t="shared" si="991"/>
        <v>7171912</v>
      </c>
      <c r="T1910" s="1">
        <v>150000</v>
      </c>
      <c r="U1910" s="1">
        <v>50000</v>
      </c>
      <c r="V1910" s="1">
        <v>0</v>
      </c>
      <c r="W1910" s="1">
        <v>50000</v>
      </c>
      <c r="X1910" s="1">
        <v>0</v>
      </c>
      <c r="Y1910" s="1">
        <v>0</v>
      </c>
      <c r="Z1910" s="1">
        <v>0</v>
      </c>
      <c r="AA1910" s="1">
        <v>0</v>
      </c>
      <c r="AB1910" s="1">
        <v>0</v>
      </c>
      <c r="AC1910" s="1">
        <v>0</v>
      </c>
      <c r="AD1910" s="1">
        <v>0</v>
      </c>
    </row>
    <row r="1911" spans="1:30" s="20" customFormat="1" ht="36" customHeight="1" x14ac:dyDescent="0.25">
      <c r="A1911" s="2">
        <f t="shared" si="987"/>
        <v>1845</v>
      </c>
      <c r="B1911" s="3">
        <f t="shared" si="988"/>
        <v>1845</v>
      </c>
      <c r="C1911" s="19" t="s">
        <v>1167</v>
      </c>
      <c r="D1911" s="4">
        <f t="shared" si="986"/>
        <v>25008551</v>
      </c>
      <c r="E1911" s="1">
        <f t="shared" si="989"/>
        <v>12520750</v>
      </c>
      <c r="F1911" s="1">
        <f>804*3190</f>
        <v>2564760</v>
      </c>
      <c r="G1911" s="1">
        <f>1693*3190</f>
        <v>5400670</v>
      </c>
      <c r="H1911" s="1">
        <f>390*3190</f>
        <v>1244100</v>
      </c>
      <c r="I1911" s="1">
        <f>571*3190</f>
        <v>1821490</v>
      </c>
      <c r="J1911" s="1">
        <f>467*3190</f>
        <v>1489730</v>
      </c>
      <c r="K1911" s="1">
        <v>0</v>
      </c>
      <c r="L1911" s="2">
        <v>0</v>
      </c>
      <c r="M1911" s="1">
        <v>0</v>
      </c>
      <c r="N1911" s="1">
        <v>801</v>
      </c>
      <c r="O1911" s="1">
        <f t="shared" si="992"/>
        <v>3979368</v>
      </c>
      <c r="P1911" s="1">
        <v>50</v>
      </c>
      <c r="Q1911" s="1">
        <f t="shared" si="990"/>
        <v>70000</v>
      </c>
      <c r="R1911" s="1">
        <v>2183</v>
      </c>
      <c r="S1911" s="1">
        <f t="shared" si="991"/>
        <v>8188433</v>
      </c>
      <c r="T1911" s="1">
        <v>150000</v>
      </c>
      <c r="U1911" s="1">
        <v>50000</v>
      </c>
      <c r="V1911" s="1">
        <v>0</v>
      </c>
      <c r="W1911" s="1">
        <v>50000</v>
      </c>
      <c r="X1911" s="1">
        <v>0</v>
      </c>
      <c r="Y1911" s="1">
        <v>0</v>
      </c>
      <c r="Z1911" s="1">
        <v>0</v>
      </c>
      <c r="AA1911" s="1">
        <v>0</v>
      </c>
      <c r="AB1911" s="1">
        <v>0</v>
      </c>
      <c r="AC1911" s="1">
        <v>0</v>
      </c>
      <c r="AD1911" s="1">
        <v>0</v>
      </c>
    </row>
    <row r="1912" spans="1:30" s="20" customFormat="1" ht="36" customHeight="1" x14ac:dyDescent="0.25">
      <c r="A1912" s="2">
        <f t="shared" si="987"/>
        <v>1846</v>
      </c>
      <c r="B1912" s="3">
        <f t="shared" si="988"/>
        <v>1846</v>
      </c>
      <c r="C1912" s="19" t="s">
        <v>1168</v>
      </c>
      <c r="D1912" s="4">
        <f t="shared" si="986"/>
        <v>20664445.25</v>
      </c>
      <c r="E1912" s="1">
        <f t="shared" si="989"/>
        <v>17718745.25</v>
      </c>
      <c r="F1912" s="1">
        <f>804*4514.33</f>
        <v>3629521.32</v>
      </c>
      <c r="G1912" s="1">
        <f>1693*4514.33</f>
        <v>7642760.6899999995</v>
      </c>
      <c r="H1912" s="1">
        <f>390*4514.33</f>
        <v>1760588.7</v>
      </c>
      <c r="I1912" s="1">
        <f>571*4514.33</f>
        <v>2577682.4300000002</v>
      </c>
      <c r="J1912" s="1">
        <f>467*4514.33</f>
        <v>2108192.11</v>
      </c>
      <c r="K1912" s="1">
        <v>0</v>
      </c>
      <c r="L1912" s="2">
        <v>0</v>
      </c>
      <c r="M1912" s="1">
        <v>0</v>
      </c>
      <c r="N1912" s="1">
        <v>0</v>
      </c>
      <c r="O1912" s="1">
        <v>0</v>
      </c>
      <c r="P1912" s="1">
        <v>50</v>
      </c>
      <c r="Q1912" s="1">
        <f>P1912*1400</f>
        <v>70000</v>
      </c>
      <c r="R1912" s="1">
        <v>700</v>
      </c>
      <c r="S1912" s="1">
        <f>R1912*3751</f>
        <v>2625700</v>
      </c>
      <c r="T1912" s="1">
        <v>150000</v>
      </c>
      <c r="U1912" s="1">
        <v>50000</v>
      </c>
      <c r="V1912" s="1">
        <v>0</v>
      </c>
      <c r="W1912" s="1">
        <v>50000</v>
      </c>
      <c r="X1912" s="1">
        <v>0</v>
      </c>
      <c r="Y1912" s="1">
        <v>0</v>
      </c>
      <c r="Z1912" s="1">
        <v>0</v>
      </c>
      <c r="AA1912" s="1">
        <v>0</v>
      </c>
      <c r="AB1912" s="1">
        <v>0</v>
      </c>
      <c r="AC1912" s="1">
        <v>0</v>
      </c>
      <c r="AD1912" s="1">
        <v>0</v>
      </c>
    </row>
    <row r="1913" spans="1:30" s="20" customFormat="1" ht="36" customHeight="1" x14ac:dyDescent="0.25">
      <c r="A1913" s="2">
        <f t="shared" si="987"/>
        <v>1847</v>
      </c>
      <c r="B1913" s="3">
        <f t="shared" si="988"/>
        <v>1847</v>
      </c>
      <c r="C1913" s="19" t="s">
        <v>1169</v>
      </c>
      <c r="D1913" s="4">
        <f t="shared" si="986"/>
        <v>24864271.5</v>
      </c>
      <c r="E1913" s="1">
        <f t="shared" si="989"/>
        <v>17601662.5</v>
      </c>
      <c r="F1913" s="1">
        <f>804*4484.5</f>
        <v>3605538</v>
      </c>
      <c r="G1913" s="1">
        <f>1693*4484.5</f>
        <v>7592258.5</v>
      </c>
      <c r="H1913" s="1">
        <f>390*4484.5</f>
        <v>1748955</v>
      </c>
      <c r="I1913" s="1">
        <f>571*4484.5</f>
        <v>2560649.5</v>
      </c>
      <c r="J1913" s="1">
        <f>467*4484.5</f>
        <v>2094261.5</v>
      </c>
      <c r="K1913" s="1">
        <v>0</v>
      </c>
      <c r="L1913" s="2">
        <v>0</v>
      </c>
      <c r="M1913" s="1">
        <v>0</v>
      </c>
      <c r="N1913" s="1">
        <v>915</v>
      </c>
      <c r="O1913" s="1">
        <f t="shared" si="992"/>
        <v>4545720</v>
      </c>
      <c r="P1913" s="1">
        <v>50</v>
      </c>
      <c r="Q1913" s="1">
        <f t="shared" si="990"/>
        <v>70000</v>
      </c>
      <c r="R1913" s="1">
        <v>639</v>
      </c>
      <c r="S1913" s="1">
        <f t="shared" si="991"/>
        <v>2396889</v>
      </c>
      <c r="T1913" s="1">
        <v>150000</v>
      </c>
      <c r="U1913" s="1">
        <v>50000</v>
      </c>
      <c r="V1913" s="1">
        <v>0</v>
      </c>
      <c r="W1913" s="1">
        <v>50000</v>
      </c>
      <c r="X1913" s="1">
        <v>0</v>
      </c>
      <c r="Y1913" s="1">
        <v>0</v>
      </c>
      <c r="Z1913" s="1">
        <v>0</v>
      </c>
      <c r="AA1913" s="1">
        <v>0</v>
      </c>
      <c r="AB1913" s="1">
        <v>0</v>
      </c>
      <c r="AC1913" s="1">
        <v>0</v>
      </c>
      <c r="AD1913" s="1">
        <v>0</v>
      </c>
    </row>
    <row r="1914" spans="1:30" s="20" customFormat="1" ht="36" customHeight="1" x14ac:dyDescent="0.25">
      <c r="A1914" s="2">
        <f t="shared" si="987"/>
        <v>1848</v>
      </c>
      <c r="B1914" s="3">
        <f t="shared" si="988"/>
        <v>1848</v>
      </c>
      <c r="C1914" s="19" t="s">
        <v>1170</v>
      </c>
      <c r="D1914" s="4">
        <f t="shared" si="986"/>
        <v>7476206.2999999998</v>
      </c>
      <c r="E1914" s="1">
        <f t="shared" si="989"/>
        <v>1274485.2999999998</v>
      </c>
      <c r="F1914" s="1">
        <f>804*767.3</f>
        <v>616909.19999999995</v>
      </c>
      <c r="G1914" s="1">
        <v>0</v>
      </c>
      <c r="H1914" s="1">
        <f>390*767.3</f>
        <v>299247</v>
      </c>
      <c r="I1914" s="1">
        <v>0</v>
      </c>
      <c r="J1914" s="1">
        <f>467*767.3</f>
        <v>358329.1</v>
      </c>
      <c r="K1914" s="1">
        <v>0</v>
      </c>
      <c r="L1914" s="2">
        <v>0</v>
      </c>
      <c r="M1914" s="1">
        <v>0</v>
      </c>
      <c r="N1914" s="1">
        <v>540</v>
      </c>
      <c r="O1914" s="1">
        <f>N1914*7750</f>
        <v>4185000</v>
      </c>
      <c r="P1914" s="1">
        <v>0</v>
      </c>
      <c r="Q1914" s="1">
        <f t="shared" si="990"/>
        <v>0</v>
      </c>
      <c r="R1914" s="1">
        <v>471</v>
      </c>
      <c r="S1914" s="1">
        <f t="shared" si="991"/>
        <v>1766721</v>
      </c>
      <c r="T1914" s="1">
        <v>150000</v>
      </c>
      <c r="U1914" s="1">
        <v>50000</v>
      </c>
      <c r="V1914" s="1">
        <v>0</v>
      </c>
      <c r="W1914" s="1">
        <v>50000</v>
      </c>
      <c r="X1914" s="1">
        <v>0</v>
      </c>
      <c r="Y1914" s="1">
        <v>0</v>
      </c>
      <c r="Z1914" s="1">
        <v>0</v>
      </c>
      <c r="AA1914" s="1">
        <v>0</v>
      </c>
      <c r="AB1914" s="1">
        <v>0</v>
      </c>
      <c r="AC1914" s="1">
        <v>0</v>
      </c>
      <c r="AD1914" s="1">
        <v>0</v>
      </c>
    </row>
    <row r="1915" spans="1:30" s="20" customFormat="1" ht="36" customHeight="1" x14ac:dyDescent="0.25">
      <c r="A1915" s="2">
        <f t="shared" si="987"/>
        <v>1849</v>
      </c>
      <c r="B1915" s="3">
        <f t="shared" ref="B1915" si="993">A1915</f>
        <v>1849</v>
      </c>
      <c r="C1915" s="19" t="s">
        <v>2532</v>
      </c>
      <c r="D1915" s="4">
        <f t="shared" si="986"/>
        <v>10686322.699999999</v>
      </c>
      <c r="E1915" s="1">
        <f t="shared" ref="E1915" si="994">SUM(F1915:K1915)</f>
        <v>5056322.6999999993</v>
      </c>
      <c r="F1915" s="1">
        <f>804*1507.55</f>
        <v>1212070.2</v>
      </c>
      <c r="G1915" s="1">
        <f>1693*1507.55</f>
        <v>2552282.15</v>
      </c>
      <c r="H1915" s="1">
        <f>390*1507.55</f>
        <v>587944.5</v>
      </c>
      <c r="I1915" s="1">
        <v>0</v>
      </c>
      <c r="J1915" s="1">
        <f>467*1507.55</f>
        <v>704025.85</v>
      </c>
      <c r="K1915" s="1">
        <v>0</v>
      </c>
      <c r="L1915" s="2">
        <v>0</v>
      </c>
      <c r="M1915" s="1">
        <v>0</v>
      </c>
      <c r="N1915" s="1">
        <v>720</v>
      </c>
      <c r="O1915" s="1">
        <f>N1915*7750</f>
        <v>5580000</v>
      </c>
      <c r="P1915" s="1">
        <v>0</v>
      </c>
      <c r="Q1915" s="1">
        <v>0</v>
      </c>
      <c r="R1915" s="1">
        <v>1700</v>
      </c>
      <c r="S1915" s="1">
        <v>0</v>
      </c>
      <c r="T1915" s="1">
        <v>0</v>
      </c>
      <c r="U1915" s="1">
        <v>50000</v>
      </c>
      <c r="V1915" s="1">
        <v>0</v>
      </c>
      <c r="W1915" s="1">
        <v>0</v>
      </c>
      <c r="X1915" s="1">
        <v>0</v>
      </c>
      <c r="Y1915" s="1">
        <v>0</v>
      </c>
      <c r="Z1915" s="1">
        <v>0</v>
      </c>
      <c r="AA1915" s="1">
        <v>0</v>
      </c>
      <c r="AB1915" s="1">
        <v>0</v>
      </c>
      <c r="AC1915" s="1">
        <v>0</v>
      </c>
      <c r="AD1915" s="1">
        <v>0</v>
      </c>
    </row>
    <row r="1916" spans="1:30" s="20" customFormat="1" ht="36" customHeight="1" x14ac:dyDescent="0.25">
      <c r="A1916" s="2">
        <f t="shared" si="987"/>
        <v>1850</v>
      </c>
      <c r="B1916" s="3">
        <f t="shared" si="988"/>
        <v>1850</v>
      </c>
      <c r="C1916" s="19" t="s">
        <v>2533</v>
      </c>
      <c r="D1916" s="4">
        <f t="shared" si="986"/>
        <v>35454431</v>
      </c>
      <c r="E1916" s="1">
        <f t="shared" si="989"/>
        <v>23258765.000000004</v>
      </c>
      <c r="F1916" s="1">
        <f>804*5925.8</f>
        <v>4764343.2</v>
      </c>
      <c r="G1916" s="1">
        <f>1693*5925.8</f>
        <v>10032379.4</v>
      </c>
      <c r="H1916" s="1">
        <f>390*5925.8</f>
        <v>2311062</v>
      </c>
      <c r="I1916" s="1">
        <f>571*5925.8</f>
        <v>3383631.8000000003</v>
      </c>
      <c r="J1916" s="1">
        <f>467*5925.8</f>
        <v>2767348.6</v>
      </c>
      <c r="K1916" s="1">
        <v>0</v>
      </c>
      <c r="L1916" s="2">
        <v>0</v>
      </c>
      <c r="M1916" s="1">
        <v>0</v>
      </c>
      <c r="N1916" s="1">
        <v>0</v>
      </c>
      <c r="O1916" s="1">
        <v>0</v>
      </c>
      <c r="P1916" s="1">
        <v>50</v>
      </c>
      <c r="Q1916" s="1">
        <f>P1916*1400</f>
        <v>70000</v>
      </c>
      <c r="R1916" s="1">
        <v>3166</v>
      </c>
      <c r="S1916" s="1">
        <f>R1916*3751</f>
        <v>11875666</v>
      </c>
      <c r="T1916" s="1">
        <v>150000</v>
      </c>
      <c r="U1916" s="1">
        <v>50000</v>
      </c>
      <c r="V1916" s="1">
        <v>0</v>
      </c>
      <c r="W1916" s="1">
        <v>50000</v>
      </c>
      <c r="X1916" s="1">
        <v>0</v>
      </c>
      <c r="Y1916" s="1">
        <v>0</v>
      </c>
      <c r="Z1916" s="1">
        <v>0</v>
      </c>
      <c r="AA1916" s="1">
        <v>0</v>
      </c>
      <c r="AB1916" s="1">
        <v>0</v>
      </c>
      <c r="AC1916" s="1">
        <v>0</v>
      </c>
      <c r="AD1916" s="1">
        <v>0</v>
      </c>
    </row>
    <row r="1917" spans="1:30" s="20" customFormat="1" ht="36" customHeight="1" x14ac:dyDescent="0.25">
      <c r="A1917" s="2">
        <f t="shared" si="987"/>
        <v>1851</v>
      </c>
      <c r="B1917" s="3">
        <f t="shared" si="988"/>
        <v>1851</v>
      </c>
      <c r="C1917" s="19" t="s">
        <v>2534</v>
      </c>
      <c r="D1917" s="4">
        <f t="shared" si="986"/>
        <v>42422057</v>
      </c>
      <c r="E1917" s="1">
        <f t="shared" si="989"/>
        <v>23897755.000000004</v>
      </c>
      <c r="F1917" s="1">
        <f>804*6088.6</f>
        <v>4895234.4000000004</v>
      </c>
      <c r="G1917" s="1">
        <f>1693*6088.6</f>
        <v>10307999.800000001</v>
      </c>
      <c r="H1917" s="1">
        <f>390*6088.6</f>
        <v>2374554</v>
      </c>
      <c r="I1917" s="1">
        <f>571*6088.6</f>
        <v>3476590.6</v>
      </c>
      <c r="J1917" s="1">
        <f>467*6088.6</f>
        <v>2843376.2</v>
      </c>
      <c r="K1917" s="1">
        <v>0</v>
      </c>
      <c r="L1917" s="2">
        <v>0</v>
      </c>
      <c r="M1917" s="1">
        <v>0</v>
      </c>
      <c r="N1917" s="1">
        <v>1742</v>
      </c>
      <c r="O1917" s="1">
        <f t="shared" si="992"/>
        <v>8654256</v>
      </c>
      <c r="P1917" s="1">
        <v>50</v>
      </c>
      <c r="Q1917" s="1">
        <f t="shared" si="990"/>
        <v>70000</v>
      </c>
      <c r="R1917" s="1">
        <v>2546</v>
      </c>
      <c r="S1917" s="1">
        <f t="shared" si="991"/>
        <v>9550046</v>
      </c>
      <c r="T1917" s="1">
        <v>150000</v>
      </c>
      <c r="U1917" s="1">
        <v>50000</v>
      </c>
      <c r="V1917" s="1">
        <v>0</v>
      </c>
      <c r="W1917" s="1">
        <v>50000</v>
      </c>
      <c r="X1917" s="1">
        <v>0</v>
      </c>
      <c r="Y1917" s="1">
        <v>0</v>
      </c>
      <c r="Z1917" s="1">
        <v>0</v>
      </c>
      <c r="AA1917" s="1">
        <v>0</v>
      </c>
      <c r="AB1917" s="1">
        <v>0</v>
      </c>
      <c r="AC1917" s="1">
        <v>0</v>
      </c>
      <c r="AD1917" s="1">
        <v>0</v>
      </c>
    </row>
    <row r="1918" spans="1:30" s="20" customFormat="1" ht="36" customHeight="1" x14ac:dyDescent="0.25">
      <c r="A1918" s="2">
        <f t="shared" si="987"/>
        <v>1852</v>
      </c>
      <c r="B1918" s="3">
        <f>A1918</f>
        <v>1852</v>
      </c>
      <c r="C1918" s="19" t="s">
        <v>2535</v>
      </c>
      <c r="D1918" s="4">
        <f t="shared" si="986"/>
        <v>29955569.359999999</v>
      </c>
      <c r="E1918" s="1">
        <f>SUM(F1918:K1918)</f>
        <v>11632129.999999998</v>
      </c>
      <c r="F1918" s="1">
        <f>804*2963.6</f>
        <v>2382734.4</v>
      </c>
      <c r="G1918" s="1">
        <f>1693*2963.6</f>
        <v>5017374.8</v>
      </c>
      <c r="H1918" s="1">
        <f>390*2963.6</f>
        <v>1155804</v>
      </c>
      <c r="I1918" s="1">
        <f>571*2963.6</f>
        <v>1692215.5999999999</v>
      </c>
      <c r="J1918" s="1">
        <f>467*2963.6</f>
        <v>1384001.2</v>
      </c>
      <c r="K1918" s="1">
        <v>0</v>
      </c>
      <c r="L1918" s="2">
        <v>0</v>
      </c>
      <c r="M1918" s="1">
        <v>0</v>
      </c>
      <c r="N1918" s="1">
        <v>1731.77</v>
      </c>
      <c r="O1918" s="1">
        <f>N1918*4968</f>
        <v>8603433.3599999994</v>
      </c>
      <c r="P1918" s="1">
        <v>50</v>
      </c>
      <c r="Q1918" s="1">
        <f>P1918*1400</f>
        <v>70000</v>
      </c>
      <c r="R1918" s="1">
        <v>2506</v>
      </c>
      <c r="S1918" s="1">
        <f>R1918*3751</f>
        <v>9400006</v>
      </c>
      <c r="T1918" s="1">
        <v>150000</v>
      </c>
      <c r="U1918" s="1">
        <v>50000</v>
      </c>
      <c r="V1918" s="1">
        <v>0</v>
      </c>
      <c r="W1918" s="1">
        <v>50000</v>
      </c>
      <c r="X1918" s="1">
        <v>0</v>
      </c>
      <c r="Y1918" s="1">
        <v>0</v>
      </c>
      <c r="Z1918" s="1">
        <v>0</v>
      </c>
      <c r="AA1918" s="1">
        <v>0</v>
      </c>
      <c r="AB1918" s="1">
        <v>0</v>
      </c>
      <c r="AC1918" s="1">
        <v>0</v>
      </c>
      <c r="AD1918" s="1">
        <v>0</v>
      </c>
    </row>
    <row r="1919" spans="1:30" s="20" customFormat="1" ht="36" customHeight="1" x14ac:dyDescent="0.25">
      <c r="A1919" s="2">
        <f t="shared" si="987"/>
        <v>1853</v>
      </c>
      <c r="B1919" s="3">
        <f t="shared" ref="B1919" si="995">A1919</f>
        <v>1853</v>
      </c>
      <c r="C1919" s="19" t="s">
        <v>2009</v>
      </c>
      <c r="D1919" s="4">
        <f t="shared" si="986"/>
        <v>6751292</v>
      </c>
      <c r="E1919" s="1">
        <f t="shared" ref="E1919" si="996">SUM(F1919:K1919)</f>
        <v>6701292</v>
      </c>
      <c r="F1919" s="1">
        <f>804*1998</f>
        <v>1606392</v>
      </c>
      <c r="G1919" s="1">
        <f>1693*1998</f>
        <v>3382614</v>
      </c>
      <c r="H1919" s="1">
        <f>390*1998</f>
        <v>779220</v>
      </c>
      <c r="I1919" s="1">
        <v>0</v>
      </c>
      <c r="J1919" s="1">
        <f>467*1998</f>
        <v>933066</v>
      </c>
      <c r="K1919" s="1">
        <v>0</v>
      </c>
      <c r="L1919" s="2">
        <v>0</v>
      </c>
      <c r="M1919" s="1">
        <v>0</v>
      </c>
      <c r="N1919" s="1">
        <v>0</v>
      </c>
      <c r="O1919" s="1">
        <v>0</v>
      </c>
      <c r="P1919" s="1">
        <v>0</v>
      </c>
      <c r="Q1919" s="1">
        <f>P1919*1400</f>
        <v>0</v>
      </c>
      <c r="R1919" s="1">
        <v>0</v>
      </c>
      <c r="S1919" s="1">
        <f>R1919*3751</f>
        <v>0</v>
      </c>
      <c r="T1919" s="1">
        <v>0</v>
      </c>
      <c r="U1919" s="1">
        <v>50000</v>
      </c>
      <c r="V1919" s="1">
        <v>0</v>
      </c>
      <c r="W1919" s="1">
        <v>0</v>
      </c>
      <c r="X1919" s="1">
        <v>0</v>
      </c>
      <c r="Y1919" s="1">
        <v>0</v>
      </c>
      <c r="Z1919" s="1">
        <v>0</v>
      </c>
      <c r="AA1919" s="1">
        <v>0</v>
      </c>
      <c r="AB1919" s="1">
        <v>0</v>
      </c>
      <c r="AC1919" s="1">
        <v>0</v>
      </c>
      <c r="AD1919" s="1">
        <v>0</v>
      </c>
    </row>
    <row r="1920" spans="1:30" s="20" customFormat="1" ht="42.75" customHeight="1" x14ac:dyDescent="0.25">
      <c r="A1920" s="2">
        <f t="shared" si="987"/>
        <v>1854</v>
      </c>
      <c r="B1920" s="6">
        <f>A1920</f>
        <v>1854</v>
      </c>
      <c r="C1920" s="19" t="s">
        <v>2010</v>
      </c>
      <c r="D1920" s="8">
        <f t="shared" si="986"/>
        <v>8156258.2599999998</v>
      </c>
      <c r="E1920" s="1">
        <f>SUM(F1920:K1920)</f>
        <v>3980158.2600000002</v>
      </c>
      <c r="F1920" s="1">
        <f>804*1186.69</f>
        <v>954098.76</v>
      </c>
      <c r="G1920" s="1">
        <f>1693*1186.69</f>
        <v>2009066.1700000002</v>
      </c>
      <c r="H1920" s="1">
        <f>390*1186.69</f>
        <v>462809.10000000003</v>
      </c>
      <c r="I1920" s="1">
        <v>0</v>
      </c>
      <c r="J1920" s="1">
        <f>467*1186.69</f>
        <v>554184.23</v>
      </c>
      <c r="K1920" s="1">
        <v>0</v>
      </c>
      <c r="L1920" s="2">
        <v>0</v>
      </c>
      <c r="M1920" s="1">
        <f>L1920*3500000</f>
        <v>0</v>
      </c>
      <c r="N1920" s="1">
        <v>0</v>
      </c>
      <c r="O1920" s="1">
        <v>0</v>
      </c>
      <c r="P1920" s="1">
        <v>0</v>
      </c>
      <c r="Q1920" s="1">
        <f>P1920*1400</f>
        <v>0</v>
      </c>
      <c r="R1920" s="1">
        <v>1100</v>
      </c>
      <c r="S1920" s="1">
        <f>R1920*3751</f>
        <v>4126100</v>
      </c>
      <c r="T1920" s="1">
        <v>0</v>
      </c>
      <c r="U1920" s="1">
        <v>50000</v>
      </c>
      <c r="V1920" s="1">
        <v>0</v>
      </c>
      <c r="W1920" s="1">
        <v>0</v>
      </c>
      <c r="X1920" s="1">
        <v>0</v>
      </c>
      <c r="Y1920" s="1">
        <v>0</v>
      </c>
      <c r="Z1920" s="1">
        <v>0</v>
      </c>
      <c r="AA1920" s="1">
        <v>0</v>
      </c>
      <c r="AB1920" s="1">
        <v>0</v>
      </c>
      <c r="AC1920" s="1">
        <v>0</v>
      </c>
      <c r="AD1920" s="1">
        <v>0</v>
      </c>
    </row>
    <row r="1921" spans="1:30" s="20" customFormat="1" ht="36" customHeight="1" x14ac:dyDescent="0.25">
      <c r="A1921" s="2">
        <f t="shared" si="987"/>
        <v>1855</v>
      </c>
      <c r="B1921" s="3">
        <f t="shared" si="988"/>
        <v>1855</v>
      </c>
      <c r="C1921" s="19" t="s">
        <v>1171</v>
      </c>
      <c r="D1921" s="4">
        <f t="shared" si="986"/>
        <v>34421552.5</v>
      </c>
      <c r="E1921" s="1">
        <f t="shared" si="989"/>
        <v>22976086.5</v>
      </c>
      <c r="F1921" s="1">
        <f>804*5853.78</f>
        <v>4706439.12</v>
      </c>
      <c r="G1921" s="1">
        <f>1693*5853.78</f>
        <v>9910449.5399999991</v>
      </c>
      <c r="H1921" s="1">
        <f>390*5853.78</f>
        <v>2282974.1999999997</v>
      </c>
      <c r="I1921" s="1">
        <f>571*5853.78</f>
        <v>3342508.38</v>
      </c>
      <c r="J1921" s="1">
        <f>467*5853.78</f>
        <v>2733715.26</v>
      </c>
      <c r="K1921" s="1">
        <v>0</v>
      </c>
      <c r="L1921" s="2">
        <v>0</v>
      </c>
      <c r="M1921" s="1">
        <v>0</v>
      </c>
      <c r="N1921" s="1">
        <v>0</v>
      </c>
      <c r="O1921" s="1">
        <v>0</v>
      </c>
      <c r="P1921" s="1">
        <v>50</v>
      </c>
      <c r="Q1921" s="1">
        <f>P1921*1400</f>
        <v>70000</v>
      </c>
      <c r="R1921" s="1">
        <v>2966</v>
      </c>
      <c r="S1921" s="1">
        <f>R1921*3751</f>
        <v>11125466</v>
      </c>
      <c r="T1921" s="1">
        <v>150000</v>
      </c>
      <c r="U1921" s="1">
        <v>50000</v>
      </c>
      <c r="V1921" s="1">
        <v>0</v>
      </c>
      <c r="W1921" s="1">
        <v>50000</v>
      </c>
      <c r="X1921" s="1">
        <v>0</v>
      </c>
      <c r="Y1921" s="1">
        <v>0</v>
      </c>
      <c r="Z1921" s="1">
        <v>0</v>
      </c>
      <c r="AA1921" s="1">
        <v>0</v>
      </c>
      <c r="AB1921" s="1">
        <v>0</v>
      </c>
      <c r="AC1921" s="1">
        <v>0</v>
      </c>
      <c r="AD1921" s="1">
        <v>0</v>
      </c>
    </row>
    <row r="1922" spans="1:30" s="20" customFormat="1" ht="36" customHeight="1" x14ac:dyDescent="0.25">
      <c r="A1922" s="2">
        <f t="shared" si="987"/>
        <v>1856</v>
      </c>
      <c r="B1922" s="3">
        <f t="shared" si="988"/>
        <v>1856</v>
      </c>
      <c r="C1922" s="19" t="s">
        <v>1172</v>
      </c>
      <c r="D1922" s="4">
        <f t="shared" si="986"/>
        <v>33194125.000000004</v>
      </c>
      <c r="E1922" s="1">
        <f t="shared" si="989"/>
        <v>17469390.000000004</v>
      </c>
      <c r="F1922" s="1">
        <f>804*4450.8</f>
        <v>3578443.2</v>
      </c>
      <c r="G1922" s="1">
        <f>1693*4450.8</f>
        <v>7535204.4000000004</v>
      </c>
      <c r="H1922" s="1">
        <f>390*4450.8</f>
        <v>1735812</v>
      </c>
      <c r="I1922" s="1">
        <f>571*4450.8</f>
        <v>2541406.8000000003</v>
      </c>
      <c r="J1922" s="1">
        <f>467*4450.8</f>
        <v>2078523.6</v>
      </c>
      <c r="K1922" s="1">
        <v>0</v>
      </c>
      <c r="L1922" s="2">
        <v>0</v>
      </c>
      <c r="M1922" s="1">
        <v>0</v>
      </c>
      <c r="N1922" s="1">
        <v>1294</v>
      </c>
      <c r="O1922" s="1">
        <f t="shared" si="992"/>
        <v>6428592</v>
      </c>
      <c r="P1922" s="1">
        <v>50</v>
      </c>
      <c r="Q1922" s="1">
        <f t="shared" si="990"/>
        <v>70000</v>
      </c>
      <c r="R1922" s="1">
        <v>2393</v>
      </c>
      <c r="S1922" s="1">
        <f t="shared" si="991"/>
        <v>8976143</v>
      </c>
      <c r="T1922" s="1">
        <v>150000</v>
      </c>
      <c r="U1922" s="1">
        <v>50000</v>
      </c>
      <c r="V1922" s="1">
        <v>0</v>
      </c>
      <c r="W1922" s="1">
        <v>50000</v>
      </c>
      <c r="X1922" s="1">
        <v>0</v>
      </c>
      <c r="Y1922" s="1">
        <v>0</v>
      </c>
      <c r="Z1922" s="1">
        <v>0</v>
      </c>
      <c r="AA1922" s="1">
        <v>0</v>
      </c>
      <c r="AB1922" s="1">
        <v>0</v>
      </c>
      <c r="AC1922" s="1">
        <v>0</v>
      </c>
      <c r="AD1922" s="1">
        <v>0</v>
      </c>
    </row>
    <row r="1923" spans="1:30" s="20" customFormat="1" ht="36" customHeight="1" x14ac:dyDescent="0.25">
      <c r="A1923" s="2">
        <f t="shared" si="987"/>
        <v>1857</v>
      </c>
      <c r="B1923" s="3">
        <f t="shared" si="988"/>
        <v>1857</v>
      </c>
      <c r="C1923" s="19" t="s">
        <v>1173</v>
      </c>
      <c r="D1923" s="4">
        <f t="shared" si="986"/>
        <v>29709203.57</v>
      </c>
      <c r="E1923" s="1">
        <f t="shared" si="989"/>
        <v>17405412.5</v>
      </c>
      <c r="F1923" s="1">
        <f>804*4434.5</f>
        <v>3565338</v>
      </c>
      <c r="G1923" s="1">
        <f>1693*4434.5</f>
        <v>7507608.5</v>
      </c>
      <c r="H1923" s="1">
        <f>390*4434.5</f>
        <v>1729455</v>
      </c>
      <c r="I1923" s="1">
        <f>571*4434.5</f>
        <v>2532099.5</v>
      </c>
      <c r="J1923" s="1">
        <f>467*4434.5</f>
        <v>2070911.5</v>
      </c>
      <c r="K1923" s="1">
        <v>0</v>
      </c>
      <c r="L1923" s="2">
        <v>0</v>
      </c>
      <c r="M1923" s="1">
        <v>0</v>
      </c>
      <c r="N1923" s="1">
        <v>984</v>
      </c>
      <c r="O1923" s="1">
        <f t="shared" si="992"/>
        <v>4888512</v>
      </c>
      <c r="P1923" s="1">
        <v>50</v>
      </c>
      <c r="Q1923" s="1">
        <f t="shared" si="990"/>
        <v>70000</v>
      </c>
      <c r="R1923" s="1">
        <v>1891.57</v>
      </c>
      <c r="S1923" s="1">
        <f t="shared" si="991"/>
        <v>7095279.0699999994</v>
      </c>
      <c r="T1923" s="1">
        <v>150000</v>
      </c>
      <c r="U1923" s="1">
        <v>50000</v>
      </c>
      <c r="V1923" s="1">
        <v>0</v>
      </c>
      <c r="W1923" s="1">
        <v>50000</v>
      </c>
      <c r="X1923" s="1">
        <v>0</v>
      </c>
      <c r="Y1923" s="1">
        <v>0</v>
      </c>
      <c r="Z1923" s="1">
        <v>0</v>
      </c>
      <c r="AA1923" s="1">
        <v>0</v>
      </c>
      <c r="AB1923" s="1">
        <v>0</v>
      </c>
      <c r="AC1923" s="1">
        <v>0</v>
      </c>
      <c r="AD1923" s="1">
        <v>0</v>
      </c>
    </row>
    <row r="1924" spans="1:30" s="20" customFormat="1" ht="36" customHeight="1" x14ac:dyDescent="0.25">
      <c r="A1924" s="2">
        <f t="shared" si="987"/>
        <v>1858</v>
      </c>
      <c r="B1924" s="3">
        <f t="shared" si="988"/>
        <v>1858</v>
      </c>
      <c r="C1924" s="19" t="s">
        <v>1174</v>
      </c>
      <c r="D1924" s="4">
        <f t="shared" si="986"/>
        <v>29915798.579999998</v>
      </c>
      <c r="E1924" s="1">
        <f t="shared" si="989"/>
        <v>17330445</v>
      </c>
      <c r="F1924" s="1">
        <f>804*4415.4</f>
        <v>3549981.5999999996</v>
      </c>
      <c r="G1924" s="1">
        <f>1693*4415.4</f>
        <v>7475272.1999999993</v>
      </c>
      <c r="H1924" s="1">
        <f>390*4415.4</f>
        <v>1722005.9999999998</v>
      </c>
      <c r="I1924" s="1">
        <f>571*4415.4</f>
        <v>2521193.4</v>
      </c>
      <c r="J1924" s="1">
        <f>467*4415.4</f>
        <v>2061991.7999999998</v>
      </c>
      <c r="K1924" s="1">
        <v>0</v>
      </c>
      <c r="L1924" s="2">
        <v>0</v>
      </c>
      <c r="M1924" s="1">
        <v>0</v>
      </c>
      <c r="N1924" s="1">
        <v>978</v>
      </c>
      <c r="O1924" s="1">
        <f t="shared" si="992"/>
        <v>4858704</v>
      </c>
      <c r="P1924" s="1">
        <v>50</v>
      </c>
      <c r="Q1924" s="1">
        <f t="shared" si="990"/>
        <v>70000</v>
      </c>
      <c r="R1924" s="1">
        <v>1974.58</v>
      </c>
      <c r="S1924" s="1">
        <f t="shared" si="991"/>
        <v>7406649.5800000001</v>
      </c>
      <c r="T1924" s="1">
        <v>150000</v>
      </c>
      <c r="U1924" s="1">
        <v>50000</v>
      </c>
      <c r="V1924" s="1">
        <v>0</v>
      </c>
      <c r="W1924" s="1">
        <v>50000</v>
      </c>
      <c r="X1924" s="1">
        <v>0</v>
      </c>
      <c r="Y1924" s="1">
        <v>0</v>
      </c>
      <c r="Z1924" s="1">
        <v>0</v>
      </c>
      <c r="AA1924" s="1">
        <v>0</v>
      </c>
      <c r="AB1924" s="1">
        <v>0</v>
      </c>
      <c r="AC1924" s="1">
        <v>0</v>
      </c>
      <c r="AD1924" s="1">
        <v>0</v>
      </c>
    </row>
    <row r="1925" spans="1:30" s="20" customFormat="1" ht="36" customHeight="1" x14ac:dyDescent="0.25">
      <c r="A1925" s="2">
        <f t="shared" si="987"/>
        <v>1859</v>
      </c>
      <c r="B1925" s="3">
        <f t="shared" ref="B1925" si="997">A1925</f>
        <v>1859</v>
      </c>
      <c r="C1925" s="19" t="s">
        <v>653</v>
      </c>
      <c r="D1925" s="4">
        <f t="shared" si="986"/>
        <v>22312822.25</v>
      </c>
      <c r="E1925" s="1">
        <f t="shared" ref="E1925" si="998">SUM(F1925:K1925)</f>
        <v>16448772.250000002</v>
      </c>
      <c r="F1925" s="1">
        <f>804*4190.77</f>
        <v>3369379.0800000005</v>
      </c>
      <c r="G1925" s="1">
        <f>1693*4190.77</f>
        <v>7094973.6100000003</v>
      </c>
      <c r="H1925" s="1">
        <f>390*4190.77</f>
        <v>1634400.3000000003</v>
      </c>
      <c r="I1925" s="1">
        <f>571*4190.77</f>
        <v>2392929.6700000004</v>
      </c>
      <c r="J1925" s="1">
        <f>467*4190.77</f>
        <v>1957089.5900000003</v>
      </c>
      <c r="K1925" s="1">
        <v>0</v>
      </c>
      <c r="L1925" s="2">
        <v>0</v>
      </c>
      <c r="M1925" s="1">
        <v>0</v>
      </c>
      <c r="N1925" s="1">
        <v>0</v>
      </c>
      <c r="O1925" s="1">
        <v>0</v>
      </c>
      <c r="P1925" s="1">
        <v>0</v>
      </c>
      <c r="Q1925" s="1">
        <f t="shared" si="990"/>
        <v>0</v>
      </c>
      <c r="R1925" s="1">
        <v>1550</v>
      </c>
      <c r="S1925" s="1">
        <f t="shared" si="991"/>
        <v>5814050</v>
      </c>
      <c r="T1925" s="1">
        <v>0</v>
      </c>
      <c r="U1925" s="1">
        <v>50000</v>
      </c>
      <c r="V1925" s="1">
        <v>0</v>
      </c>
      <c r="W1925" s="1">
        <v>0</v>
      </c>
      <c r="X1925" s="1">
        <v>0</v>
      </c>
      <c r="Y1925" s="1">
        <v>0</v>
      </c>
      <c r="Z1925" s="1">
        <v>0</v>
      </c>
      <c r="AA1925" s="1">
        <v>0</v>
      </c>
      <c r="AB1925" s="1">
        <v>0</v>
      </c>
      <c r="AC1925" s="1">
        <v>0</v>
      </c>
      <c r="AD1925" s="1">
        <v>0</v>
      </c>
    </row>
    <row r="1926" spans="1:30" s="20" customFormat="1" ht="36" customHeight="1" x14ac:dyDescent="0.25">
      <c r="A1926" s="2">
        <f t="shared" si="987"/>
        <v>1860</v>
      </c>
      <c r="B1926" s="3">
        <f t="shared" ref="B1926" si="999">A1926</f>
        <v>1860</v>
      </c>
      <c r="C1926" s="19" t="s">
        <v>2012</v>
      </c>
      <c r="D1926" s="4">
        <f t="shared" si="986"/>
        <v>24085090.750000004</v>
      </c>
      <c r="E1926" s="1">
        <f t="shared" ref="E1926" si="1000">SUM(F1926:K1926)</f>
        <v>24035090.750000004</v>
      </c>
      <c r="F1926" s="1">
        <f>804*6123.59</f>
        <v>4923366.3600000003</v>
      </c>
      <c r="G1926" s="1">
        <f>1693*6123.59</f>
        <v>10367237.870000001</v>
      </c>
      <c r="H1926" s="1">
        <f>390*6123.59</f>
        <v>2388200.1</v>
      </c>
      <c r="I1926" s="1">
        <f>571*6123.59</f>
        <v>3496569.89</v>
      </c>
      <c r="J1926" s="1">
        <f>467*6123.59</f>
        <v>2859716.5300000003</v>
      </c>
      <c r="K1926" s="1">
        <v>0</v>
      </c>
      <c r="L1926" s="2">
        <v>0</v>
      </c>
      <c r="M1926" s="1">
        <v>0</v>
      </c>
      <c r="N1926" s="1">
        <v>0</v>
      </c>
      <c r="O1926" s="1">
        <v>0</v>
      </c>
      <c r="P1926" s="1">
        <v>0</v>
      </c>
      <c r="Q1926" s="1">
        <f t="shared" ref="Q1926" si="1001">P1926*1400</f>
        <v>0</v>
      </c>
      <c r="R1926" s="1">
        <v>0</v>
      </c>
      <c r="S1926" s="1">
        <f t="shared" ref="S1926" si="1002">R1926*3751</f>
        <v>0</v>
      </c>
      <c r="T1926" s="1">
        <v>0</v>
      </c>
      <c r="U1926" s="1">
        <v>50000</v>
      </c>
      <c r="V1926" s="1">
        <v>0</v>
      </c>
      <c r="W1926" s="1">
        <v>0</v>
      </c>
      <c r="X1926" s="1">
        <v>0</v>
      </c>
      <c r="Y1926" s="1">
        <v>0</v>
      </c>
      <c r="Z1926" s="1">
        <v>0</v>
      </c>
      <c r="AA1926" s="1">
        <v>0</v>
      </c>
      <c r="AB1926" s="1">
        <v>0</v>
      </c>
      <c r="AC1926" s="1">
        <v>0</v>
      </c>
      <c r="AD1926" s="1">
        <v>0</v>
      </c>
    </row>
    <row r="1927" spans="1:30" s="20" customFormat="1" ht="36" customHeight="1" x14ac:dyDescent="0.25">
      <c r="A1927" s="2">
        <f t="shared" si="987"/>
        <v>1861</v>
      </c>
      <c r="B1927" s="3">
        <f t="shared" si="988"/>
        <v>1861</v>
      </c>
      <c r="C1927" s="19" t="s">
        <v>1175</v>
      </c>
      <c r="D1927" s="4">
        <f t="shared" si="986"/>
        <v>2789935</v>
      </c>
      <c r="E1927" s="1">
        <f t="shared" si="989"/>
        <v>1602184.9999999998</v>
      </c>
      <c r="F1927" s="1">
        <f>804*408.2</f>
        <v>328192.8</v>
      </c>
      <c r="G1927" s="1">
        <f>1693*408.2</f>
        <v>691082.6</v>
      </c>
      <c r="H1927" s="1">
        <f>390*408.2</f>
        <v>159198</v>
      </c>
      <c r="I1927" s="1">
        <f>571*408.2</f>
        <v>233082.19999999998</v>
      </c>
      <c r="J1927" s="1">
        <f>467*408.2</f>
        <v>190629.4</v>
      </c>
      <c r="K1927" s="1">
        <v>0</v>
      </c>
      <c r="L1927" s="2">
        <v>0</v>
      </c>
      <c r="M1927" s="1">
        <v>0</v>
      </c>
      <c r="N1927" s="1">
        <v>0</v>
      </c>
      <c r="O1927" s="1">
        <v>0</v>
      </c>
      <c r="P1927" s="1">
        <v>0</v>
      </c>
      <c r="Q1927" s="1">
        <f t="shared" ref="Q1927:Q1992" si="1003">P1927*1400</f>
        <v>0</v>
      </c>
      <c r="R1927" s="1">
        <v>250</v>
      </c>
      <c r="S1927" s="1">
        <f t="shared" ref="S1927:S1992" si="1004">R1927*3751</f>
        <v>937750</v>
      </c>
      <c r="T1927" s="1">
        <v>150000</v>
      </c>
      <c r="U1927" s="1">
        <v>50000</v>
      </c>
      <c r="V1927" s="1">
        <v>0</v>
      </c>
      <c r="W1927" s="1">
        <v>50000</v>
      </c>
      <c r="X1927" s="1">
        <v>0</v>
      </c>
      <c r="Y1927" s="1">
        <v>0</v>
      </c>
      <c r="Z1927" s="1">
        <v>0</v>
      </c>
      <c r="AA1927" s="1">
        <v>0</v>
      </c>
      <c r="AB1927" s="1">
        <v>0</v>
      </c>
      <c r="AC1927" s="1">
        <v>0</v>
      </c>
      <c r="AD1927" s="1">
        <v>0</v>
      </c>
    </row>
    <row r="1928" spans="1:30" s="20" customFormat="1" ht="36" customHeight="1" x14ac:dyDescent="0.25">
      <c r="A1928" s="2">
        <f t="shared" si="987"/>
        <v>1862</v>
      </c>
      <c r="B1928" s="3">
        <f t="shared" ref="B1928" si="1005">A1928</f>
        <v>1862</v>
      </c>
      <c r="C1928" s="19" t="s">
        <v>2013</v>
      </c>
      <c r="D1928" s="4">
        <f t="shared" si="986"/>
        <v>11509592.600000001</v>
      </c>
      <c r="E1928" s="1">
        <f t="shared" ref="E1928" si="1006">SUM(F1928:K1928)</f>
        <v>6395742.6000000006</v>
      </c>
      <c r="F1928" s="1">
        <f>804*1906.9</f>
        <v>1533147.6</v>
      </c>
      <c r="G1928" s="1">
        <f>1693*1906.9</f>
        <v>3228381.7</v>
      </c>
      <c r="H1928" s="1">
        <f>390*1906.9</f>
        <v>743691</v>
      </c>
      <c r="I1928" s="1">
        <v>0</v>
      </c>
      <c r="J1928" s="1">
        <f>467*1906.9</f>
        <v>890522.3</v>
      </c>
      <c r="K1928" s="1">
        <v>0</v>
      </c>
      <c r="L1928" s="2">
        <v>0</v>
      </c>
      <c r="M1928" s="1">
        <v>0</v>
      </c>
      <c r="N1928" s="1">
        <v>0</v>
      </c>
      <c r="O1928" s="1">
        <f>N1928*7750</f>
        <v>0</v>
      </c>
      <c r="P1928" s="1">
        <v>0</v>
      </c>
      <c r="Q1928" s="1">
        <f t="shared" si="1003"/>
        <v>0</v>
      </c>
      <c r="R1928" s="1">
        <v>1350</v>
      </c>
      <c r="S1928" s="1">
        <f t="shared" si="1004"/>
        <v>5063850</v>
      </c>
      <c r="T1928" s="1">
        <v>0</v>
      </c>
      <c r="U1928" s="1">
        <v>50000</v>
      </c>
      <c r="V1928" s="1">
        <v>0</v>
      </c>
      <c r="W1928" s="1">
        <v>0</v>
      </c>
      <c r="X1928" s="1">
        <v>0</v>
      </c>
      <c r="Y1928" s="1">
        <v>0</v>
      </c>
      <c r="Z1928" s="1">
        <v>0</v>
      </c>
      <c r="AA1928" s="1">
        <v>0</v>
      </c>
      <c r="AB1928" s="1">
        <v>0</v>
      </c>
      <c r="AC1928" s="1">
        <v>0</v>
      </c>
      <c r="AD1928" s="1">
        <v>0</v>
      </c>
    </row>
    <row r="1929" spans="1:30" s="20" customFormat="1" ht="36" customHeight="1" x14ac:dyDescent="0.25">
      <c r="A1929" s="2">
        <f t="shared" si="987"/>
        <v>1863</v>
      </c>
      <c r="B1929" s="3">
        <f t="shared" si="988"/>
        <v>1863</v>
      </c>
      <c r="C1929" s="19" t="s">
        <v>1176</v>
      </c>
      <c r="D1929" s="4">
        <f t="shared" si="986"/>
        <v>22284877.399999999</v>
      </c>
      <c r="E1929" s="1">
        <f t="shared" si="989"/>
        <v>11085305.399999999</v>
      </c>
      <c r="F1929" s="1">
        <f>804*3305.1</f>
        <v>2657300.4</v>
      </c>
      <c r="G1929" s="1">
        <f>1693*3305.1</f>
        <v>5595534.2999999998</v>
      </c>
      <c r="H1929" s="1">
        <f>390*3305.1</f>
        <v>1288989</v>
      </c>
      <c r="I1929" s="1">
        <v>0</v>
      </c>
      <c r="J1929" s="1">
        <f>467*3305.1</f>
        <v>1543481.7</v>
      </c>
      <c r="K1929" s="1">
        <v>0</v>
      </c>
      <c r="L1929" s="2">
        <v>0</v>
      </c>
      <c r="M1929" s="1">
        <v>0</v>
      </c>
      <c r="N1929" s="1">
        <v>773</v>
      </c>
      <c r="O1929" s="1">
        <f>N1929*7750</f>
        <v>5990750</v>
      </c>
      <c r="P1929" s="1">
        <v>0</v>
      </c>
      <c r="Q1929" s="1">
        <f t="shared" si="990"/>
        <v>0</v>
      </c>
      <c r="R1929" s="1">
        <v>1322</v>
      </c>
      <c r="S1929" s="1">
        <f t="shared" si="991"/>
        <v>4958822</v>
      </c>
      <c r="T1929" s="1">
        <v>150000</v>
      </c>
      <c r="U1929" s="1">
        <v>50000</v>
      </c>
      <c r="V1929" s="1">
        <v>0</v>
      </c>
      <c r="W1929" s="1">
        <v>50000</v>
      </c>
      <c r="X1929" s="1">
        <v>0</v>
      </c>
      <c r="Y1929" s="1">
        <v>0</v>
      </c>
      <c r="Z1929" s="1">
        <v>0</v>
      </c>
      <c r="AA1929" s="1">
        <v>0</v>
      </c>
      <c r="AB1929" s="1">
        <v>0</v>
      </c>
      <c r="AC1929" s="1">
        <v>0</v>
      </c>
      <c r="AD1929" s="1">
        <v>0</v>
      </c>
    </row>
    <row r="1930" spans="1:30" s="20" customFormat="1" ht="36" customHeight="1" x14ac:dyDescent="0.25">
      <c r="A1930" s="2">
        <f t="shared" si="987"/>
        <v>1864</v>
      </c>
      <c r="B1930" s="3">
        <f t="shared" si="988"/>
        <v>1864</v>
      </c>
      <c r="C1930" s="19" t="s">
        <v>1177</v>
      </c>
      <c r="D1930" s="4">
        <f t="shared" si="986"/>
        <v>25956063</v>
      </c>
      <c r="E1930" s="1">
        <f t="shared" si="989"/>
        <v>13700604.999999998</v>
      </c>
      <c r="F1930" s="1">
        <f>804*3490.6</f>
        <v>2806442.4</v>
      </c>
      <c r="G1930" s="1">
        <f>1693*3490.6</f>
        <v>5909585.7999999998</v>
      </c>
      <c r="H1930" s="1">
        <f>390*3490.6</f>
        <v>1361334</v>
      </c>
      <c r="I1930" s="1">
        <f>571*3490.6</f>
        <v>1993132.5999999999</v>
      </c>
      <c r="J1930" s="1">
        <f>467*3490.6</f>
        <v>1630110.2</v>
      </c>
      <c r="K1930" s="1">
        <v>0</v>
      </c>
      <c r="L1930" s="2">
        <v>0</v>
      </c>
      <c r="M1930" s="1">
        <v>0</v>
      </c>
      <c r="N1930" s="1">
        <v>1057</v>
      </c>
      <c r="O1930" s="1">
        <f>N1930*4968</f>
        <v>5251176</v>
      </c>
      <c r="P1930" s="1">
        <v>50</v>
      </c>
      <c r="Q1930" s="1">
        <f t="shared" si="990"/>
        <v>70000</v>
      </c>
      <c r="R1930" s="1">
        <v>1782</v>
      </c>
      <c r="S1930" s="1">
        <f t="shared" si="991"/>
        <v>6684282</v>
      </c>
      <c r="T1930" s="1">
        <v>150000</v>
      </c>
      <c r="U1930" s="1">
        <v>50000</v>
      </c>
      <c r="V1930" s="1">
        <v>0</v>
      </c>
      <c r="W1930" s="1">
        <v>50000</v>
      </c>
      <c r="X1930" s="1">
        <v>0</v>
      </c>
      <c r="Y1930" s="1">
        <v>0</v>
      </c>
      <c r="Z1930" s="1">
        <v>0</v>
      </c>
      <c r="AA1930" s="1">
        <v>0</v>
      </c>
      <c r="AB1930" s="1">
        <v>0</v>
      </c>
      <c r="AC1930" s="1">
        <v>0</v>
      </c>
      <c r="AD1930" s="1">
        <v>0</v>
      </c>
    </row>
    <row r="1931" spans="1:30" s="20" customFormat="1" ht="36" customHeight="1" x14ac:dyDescent="0.25">
      <c r="A1931" s="2">
        <f t="shared" si="987"/>
        <v>1865</v>
      </c>
      <c r="B1931" s="3">
        <f t="shared" si="988"/>
        <v>1865</v>
      </c>
      <c r="C1931" s="19" t="s">
        <v>1178</v>
      </c>
      <c r="D1931" s="4">
        <f t="shared" si="986"/>
        <v>23888730.75</v>
      </c>
      <c r="E1931" s="1">
        <f t="shared" si="989"/>
        <v>16798175.75</v>
      </c>
      <c r="F1931" s="1">
        <f>804*4279.79</f>
        <v>3440951.16</v>
      </c>
      <c r="G1931" s="1">
        <f>1693*4279.79</f>
        <v>7245684.4699999997</v>
      </c>
      <c r="H1931" s="1">
        <f>390*4279.79</f>
        <v>1669118.1</v>
      </c>
      <c r="I1931" s="1">
        <f>571*4279.79</f>
        <v>2443760.09</v>
      </c>
      <c r="J1931" s="1">
        <f>467*4279.79</f>
        <v>1998661.93</v>
      </c>
      <c r="K1931" s="1">
        <v>0</v>
      </c>
      <c r="L1931" s="2">
        <v>0</v>
      </c>
      <c r="M1931" s="1">
        <v>0</v>
      </c>
      <c r="N1931" s="1">
        <v>0</v>
      </c>
      <c r="O1931" s="1">
        <v>0</v>
      </c>
      <c r="P1931" s="1">
        <v>50</v>
      </c>
      <c r="Q1931" s="1">
        <f>P1931*1400</f>
        <v>70000</v>
      </c>
      <c r="R1931" s="1">
        <v>1805</v>
      </c>
      <c r="S1931" s="1">
        <f>R1931*3751</f>
        <v>6770555</v>
      </c>
      <c r="T1931" s="1">
        <v>150000</v>
      </c>
      <c r="U1931" s="1">
        <v>50000</v>
      </c>
      <c r="V1931" s="1">
        <v>0</v>
      </c>
      <c r="W1931" s="1">
        <v>50000</v>
      </c>
      <c r="X1931" s="1">
        <v>0</v>
      </c>
      <c r="Y1931" s="1">
        <v>0</v>
      </c>
      <c r="Z1931" s="1">
        <v>0</v>
      </c>
      <c r="AA1931" s="1">
        <v>0</v>
      </c>
      <c r="AB1931" s="1">
        <v>0</v>
      </c>
      <c r="AC1931" s="1">
        <v>0</v>
      </c>
      <c r="AD1931" s="1">
        <v>0</v>
      </c>
    </row>
    <row r="1932" spans="1:30" s="20" customFormat="1" ht="36" customHeight="1" x14ac:dyDescent="0.25">
      <c r="A1932" s="2">
        <f t="shared" si="987"/>
        <v>1866</v>
      </c>
      <c r="B1932" s="3">
        <f t="shared" ref="B1932" si="1007">A1932</f>
        <v>1866</v>
      </c>
      <c r="C1932" s="19" t="s">
        <v>2015</v>
      </c>
      <c r="D1932" s="4">
        <f t="shared" si="986"/>
        <v>7908822</v>
      </c>
      <c r="E1932" s="1">
        <f t="shared" ref="E1932" si="1008">SUM(F1932:K1932)</f>
        <v>1918540.0000000002</v>
      </c>
      <c r="F1932" s="1">
        <f>804*488.8</f>
        <v>392995.2</v>
      </c>
      <c r="G1932" s="1">
        <f>1693*488.8</f>
        <v>827538.4</v>
      </c>
      <c r="H1932" s="1">
        <f>390*488.8</f>
        <v>190632</v>
      </c>
      <c r="I1932" s="1">
        <f>571*488.8</f>
        <v>279104.8</v>
      </c>
      <c r="J1932" s="1">
        <f>467*488.8</f>
        <v>228269.6</v>
      </c>
      <c r="K1932" s="1">
        <v>0</v>
      </c>
      <c r="L1932" s="2">
        <v>0</v>
      </c>
      <c r="M1932" s="1">
        <v>0</v>
      </c>
      <c r="N1932" s="1">
        <v>509</v>
      </c>
      <c r="O1932" s="1">
        <f>N1932*7750</f>
        <v>3944750</v>
      </c>
      <c r="P1932" s="1">
        <v>0</v>
      </c>
      <c r="Q1932" s="1">
        <f t="shared" ref="Q1932" si="1009">P1932*1400</f>
        <v>0</v>
      </c>
      <c r="R1932" s="1">
        <v>532</v>
      </c>
      <c r="S1932" s="1">
        <f t="shared" ref="S1932" si="1010">R1932*3751</f>
        <v>1995532</v>
      </c>
      <c r="T1932" s="1">
        <v>0</v>
      </c>
      <c r="U1932" s="1">
        <v>50000</v>
      </c>
      <c r="V1932" s="1">
        <v>0</v>
      </c>
      <c r="W1932" s="1">
        <v>0</v>
      </c>
      <c r="X1932" s="1">
        <v>0</v>
      </c>
      <c r="Y1932" s="1">
        <v>0</v>
      </c>
      <c r="Z1932" s="1">
        <v>0</v>
      </c>
      <c r="AA1932" s="1">
        <v>0</v>
      </c>
      <c r="AB1932" s="1">
        <v>0</v>
      </c>
      <c r="AC1932" s="1">
        <v>0</v>
      </c>
      <c r="AD1932" s="1">
        <v>0</v>
      </c>
    </row>
    <row r="1933" spans="1:30" s="20" customFormat="1" ht="36" customHeight="1" x14ac:dyDescent="0.25">
      <c r="A1933" s="2">
        <f t="shared" si="987"/>
        <v>1867</v>
      </c>
      <c r="B1933" s="3">
        <f t="shared" si="988"/>
        <v>1867</v>
      </c>
      <c r="C1933" s="19" t="s">
        <v>2014</v>
      </c>
      <c r="D1933" s="4">
        <f t="shared" si="986"/>
        <v>8450057</v>
      </c>
      <c r="E1933" s="1">
        <f t="shared" si="989"/>
        <v>2512785</v>
      </c>
      <c r="F1933" s="1">
        <f>804*640.2</f>
        <v>514720.80000000005</v>
      </c>
      <c r="G1933" s="1">
        <f>1693*640.2</f>
        <v>1083858.6000000001</v>
      </c>
      <c r="H1933" s="1">
        <f>390*640.2</f>
        <v>249678.00000000003</v>
      </c>
      <c r="I1933" s="1">
        <f>571*640.2</f>
        <v>365554.2</v>
      </c>
      <c r="J1933" s="1">
        <f>467*640.2</f>
        <v>298973.40000000002</v>
      </c>
      <c r="K1933" s="1">
        <v>0</v>
      </c>
      <c r="L1933" s="2">
        <v>0</v>
      </c>
      <c r="M1933" s="1">
        <v>0</v>
      </c>
      <c r="N1933" s="1">
        <v>507</v>
      </c>
      <c r="O1933" s="1">
        <f>N1933*7750</f>
        <v>3929250</v>
      </c>
      <c r="P1933" s="1">
        <v>0</v>
      </c>
      <c r="Q1933" s="1">
        <f t="shared" ref="Q1933" si="1011">P1933*1400</f>
        <v>0</v>
      </c>
      <c r="R1933" s="1">
        <v>522</v>
      </c>
      <c r="S1933" s="1">
        <f t="shared" ref="S1933" si="1012">R1933*3751</f>
        <v>1958022</v>
      </c>
      <c r="T1933" s="1">
        <v>0</v>
      </c>
      <c r="U1933" s="1">
        <v>50000</v>
      </c>
      <c r="V1933" s="1">
        <v>0</v>
      </c>
      <c r="W1933" s="1">
        <v>0</v>
      </c>
      <c r="X1933" s="1">
        <v>0</v>
      </c>
      <c r="Y1933" s="1">
        <v>0</v>
      </c>
      <c r="Z1933" s="1">
        <v>0</v>
      </c>
      <c r="AA1933" s="1">
        <v>0</v>
      </c>
      <c r="AB1933" s="1">
        <v>0</v>
      </c>
      <c r="AC1933" s="1">
        <v>0</v>
      </c>
      <c r="AD1933" s="1">
        <v>0</v>
      </c>
    </row>
    <row r="1934" spans="1:30" s="20" customFormat="1" ht="36" customHeight="1" x14ac:dyDescent="0.25">
      <c r="A1934" s="2">
        <f t="shared" si="987"/>
        <v>1868</v>
      </c>
      <c r="B1934" s="3">
        <f>A1934</f>
        <v>1868</v>
      </c>
      <c r="C1934" s="19" t="s">
        <v>1183</v>
      </c>
      <c r="D1934" s="4">
        <f t="shared" si="986"/>
        <v>56622757</v>
      </c>
      <c r="E1934" s="1">
        <f>SUM(F1934:K1934)</f>
        <v>50181125</v>
      </c>
      <c r="F1934" s="1">
        <f>804*12785</f>
        <v>10279140</v>
      </c>
      <c r="G1934" s="1">
        <f>1693*12785</f>
        <v>21645005</v>
      </c>
      <c r="H1934" s="1">
        <f>390*12785</f>
        <v>4986150</v>
      </c>
      <c r="I1934" s="1">
        <f>571*12785</f>
        <v>7300235</v>
      </c>
      <c r="J1934" s="1">
        <f>467*12785</f>
        <v>5970595</v>
      </c>
      <c r="K1934" s="1">
        <v>0</v>
      </c>
      <c r="L1934" s="2">
        <v>0</v>
      </c>
      <c r="M1934" s="1">
        <v>0</v>
      </c>
      <c r="N1934" s="1">
        <v>0</v>
      </c>
      <c r="O1934" s="1">
        <v>0</v>
      </c>
      <c r="P1934" s="1">
        <v>50</v>
      </c>
      <c r="Q1934" s="1">
        <f>P1934*1400</f>
        <v>70000</v>
      </c>
      <c r="R1934" s="1">
        <v>1632</v>
      </c>
      <c r="S1934" s="1">
        <f>R1934*3751</f>
        <v>6121632</v>
      </c>
      <c r="T1934" s="1">
        <v>150000</v>
      </c>
      <c r="U1934" s="1">
        <v>50000</v>
      </c>
      <c r="V1934" s="1">
        <v>0</v>
      </c>
      <c r="W1934" s="1">
        <v>50000</v>
      </c>
      <c r="X1934" s="1">
        <v>0</v>
      </c>
      <c r="Y1934" s="1">
        <v>0</v>
      </c>
      <c r="Z1934" s="1">
        <v>0</v>
      </c>
      <c r="AA1934" s="1">
        <v>0</v>
      </c>
      <c r="AB1934" s="1">
        <v>0</v>
      </c>
      <c r="AC1934" s="1">
        <v>0</v>
      </c>
      <c r="AD1934" s="1">
        <v>0</v>
      </c>
    </row>
    <row r="1935" spans="1:30" s="20" customFormat="1" ht="36" customHeight="1" x14ac:dyDescent="0.25">
      <c r="A1935" s="2">
        <f t="shared" si="987"/>
        <v>1869</v>
      </c>
      <c r="B1935" s="3">
        <f>A1935</f>
        <v>1869</v>
      </c>
      <c r="C1935" s="19" t="s">
        <v>1184</v>
      </c>
      <c r="D1935" s="4">
        <f t="shared" ref="D1935:D1966" si="1013">E1935+M1935+O1935+Q1935+S1935+T1935+U1935+V1935+W1935+X1935+Z1935+AA1935+AB1935+AC1935+AD1935</f>
        <v>56560285</v>
      </c>
      <c r="E1935" s="1">
        <f>SUM(F1935:K1935)</f>
        <v>50294950</v>
      </c>
      <c r="F1935" s="1">
        <f>804*12814</f>
        <v>10302456</v>
      </c>
      <c r="G1935" s="1">
        <f>1693*12814</f>
        <v>21694102</v>
      </c>
      <c r="H1935" s="1">
        <f>390*12814</f>
        <v>4997460</v>
      </c>
      <c r="I1935" s="1">
        <f>571*12814</f>
        <v>7316794</v>
      </c>
      <c r="J1935" s="1">
        <f>467*12814</f>
        <v>5984138</v>
      </c>
      <c r="K1935" s="1">
        <v>0</v>
      </c>
      <c r="L1935" s="2">
        <v>0</v>
      </c>
      <c r="M1935" s="1">
        <v>0</v>
      </c>
      <c r="N1935" s="1">
        <v>0</v>
      </c>
      <c r="O1935" s="1">
        <v>0</v>
      </c>
      <c r="P1935" s="1">
        <v>50</v>
      </c>
      <c r="Q1935" s="1">
        <f>P1935*1400</f>
        <v>70000</v>
      </c>
      <c r="R1935" s="1">
        <v>1585</v>
      </c>
      <c r="S1935" s="1">
        <f>R1935*3751</f>
        <v>5945335</v>
      </c>
      <c r="T1935" s="1">
        <v>150000</v>
      </c>
      <c r="U1935" s="1">
        <v>50000</v>
      </c>
      <c r="V1935" s="1">
        <v>0</v>
      </c>
      <c r="W1935" s="1">
        <v>50000</v>
      </c>
      <c r="X1935" s="1">
        <v>0</v>
      </c>
      <c r="Y1935" s="1">
        <v>0</v>
      </c>
      <c r="Z1935" s="1">
        <v>0</v>
      </c>
      <c r="AA1935" s="1">
        <v>0</v>
      </c>
      <c r="AB1935" s="1">
        <v>0</v>
      </c>
      <c r="AC1935" s="1">
        <v>0</v>
      </c>
      <c r="AD1935" s="1">
        <v>0</v>
      </c>
    </row>
    <row r="1936" spans="1:30" s="20" customFormat="1" ht="36" customHeight="1" x14ac:dyDescent="0.25">
      <c r="A1936" s="2">
        <f t="shared" si="987"/>
        <v>1870</v>
      </c>
      <c r="B1936" s="3">
        <f t="shared" si="988"/>
        <v>1870</v>
      </c>
      <c r="C1936" s="19" t="s">
        <v>1179</v>
      </c>
      <c r="D1936" s="4">
        <f t="shared" si="1013"/>
        <v>30050963.999999996</v>
      </c>
      <c r="E1936" s="1">
        <f t="shared" si="989"/>
        <v>18868259.999999996</v>
      </c>
      <c r="F1936" s="1">
        <f>804*4807.2</f>
        <v>3864988.8</v>
      </c>
      <c r="G1936" s="1">
        <f>1693*4807.2</f>
        <v>8138589.5999999996</v>
      </c>
      <c r="H1936" s="1">
        <f>390*4807.2</f>
        <v>1874808</v>
      </c>
      <c r="I1936" s="1">
        <f>571*4807.2</f>
        <v>2744911.1999999997</v>
      </c>
      <c r="J1936" s="1">
        <f>467*4807.2</f>
        <v>2244962.4</v>
      </c>
      <c r="K1936" s="1">
        <v>0</v>
      </c>
      <c r="L1936" s="2">
        <v>0</v>
      </c>
      <c r="M1936" s="1">
        <v>0</v>
      </c>
      <c r="N1936" s="1">
        <v>906</v>
      </c>
      <c r="O1936" s="1">
        <f>N1936*4968</f>
        <v>4501008</v>
      </c>
      <c r="P1936" s="1">
        <v>50</v>
      </c>
      <c r="Q1936" s="1">
        <f t="shared" si="990"/>
        <v>70000</v>
      </c>
      <c r="R1936" s="1">
        <v>1696</v>
      </c>
      <c r="S1936" s="1">
        <f t="shared" si="991"/>
        <v>6361696</v>
      </c>
      <c r="T1936" s="1">
        <v>150000</v>
      </c>
      <c r="U1936" s="1">
        <v>50000</v>
      </c>
      <c r="V1936" s="1">
        <v>0</v>
      </c>
      <c r="W1936" s="1">
        <v>50000</v>
      </c>
      <c r="X1936" s="1">
        <v>0</v>
      </c>
      <c r="Y1936" s="1">
        <v>0</v>
      </c>
      <c r="Z1936" s="1">
        <v>0</v>
      </c>
      <c r="AA1936" s="1">
        <v>0</v>
      </c>
      <c r="AB1936" s="1">
        <v>0</v>
      </c>
      <c r="AC1936" s="1">
        <v>0</v>
      </c>
      <c r="AD1936" s="1">
        <v>0</v>
      </c>
    </row>
    <row r="1937" spans="1:30" s="20" customFormat="1" ht="36" customHeight="1" x14ac:dyDescent="0.25">
      <c r="A1937" s="2">
        <f t="shared" si="987"/>
        <v>1871</v>
      </c>
      <c r="B1937" s="3">
        <f t="shared" si="988"/>
        <v>1871</v>
      </c>
      <c r="C1937" s="19" t="s">
        <v>1180</v>
      </c>
      <c r="D1937" s="4">
        <f t="shared" si="1013"/>
        <v>29158774.5</v>
      </c>
      <c r="E1937" s="1">
        <f t="shared" si="989"/>
        <v>18539737.5</v>
      </c>
      <c r="F1937" s="1">
        <f>804*4723.5</f>
        <v>3797694</v>
      </c>
      <c r="G1937" s="1">
        <f>1693*4723.5</f>
        <v>7996885.5</v>
      </c>
      <c r="H1937" s="1">
        <f>390*4723.5</f>
        <v>1842165</v>
      </c>
      <c r="I1937" s="1">
        <f>571*4723.5</f>
        <v>2697118.5</v>
      </c>
      <c r="J1937" s="1">
        <f>467*4723.5</f>
        <v>2205874.5</v>
      </c>
      <c r="K1937" s="1">
        <v>0</v>
      </c>
      <c r="L1937" s="2">
        <v>0</v>
      </c>
      <c r="M1937" s="1">
        <v>0</v>
      </c>
      <c r="N1937" s="1">
        <v>899</v>
      </c>
      <c r="O1937" s="1">
        <f>N1937*4968</f>
        <v>4466232</v>
      </c>
      <c r="P1937" s="1">
        <v>50</v>
      </c>
      <c r="Q1937" s="1">
        <f t="shared" si="990"/>
        <v>70000</v>
      </c>
      <c r="R1937" s="1">
        <v>1555</v>
      </c>
      <c r="S1937" s="1">
        <f t="shared" si="991"/>
        <v>5832805</v>
      </c>
      <c r="T1937" s="1">
        <v>150000</v>
      </c>
      <c r="U1937" s="1">
        <v>50000</v>
      </c>
      <c r="V1937" s="1">
        <v>0</v>
      </c>
      <c r="W1937" s="1">
        <v>50000</v>
      </c>
      <c r="X1937" s="1">
        <v>0</v>
      </c>
      <c r="Y1937" s="1">
        <v>0</v>
      </c>
      <c r="Z1937" s="1">
        <v>0</v>
      </c>
      <c r="AA1937" s="1">
        <v>0</v>
      </c>
      <c r="AB1937" s="1">
        <v>0</v>
      </c>
      <c r="AC1937" s="1">
        <v>0</v>
      </c>
      <c r="AD1937" s="1">
        <v>0</v>
      </c>
    </row>
    <row r="1938" spans="1:30" s="20" customFormat="1" ht="36" customHeight="1" x14ac:dyDescent="0.25">
      <c r="A1938" s="2">
        <f t="shared" si="987"/>
        <v>1872</v>
      </c>
      <c r="B1938" s="3">
        <f t="shared" si="988"/>
        <v>1872</v>
      </c>
      <c r="C1938" s="19" t="s">
        <v>1181</v>
      </c>
      <c r="D1938" s="4">
        <f t="shared" si="1013"/>
        <v>28766468.500000004</v>
      </c>
      <c r="E1938" s="1">
        <f t="shared" si="989"/>
        <v>18413352.500000004</v>
      </c>
      <c r="F1938" s="1">
        <f>804*4691.3</f>
        <v>3771805.2</v>
      </c>
      <c r="G1938" s="1">
        <f>1693*4691.3</f>
        <v>7942370.9000000004</v>
      </c>
      <c r="H1938" s="1">
        <f>390*4691.3</f>
        <v>1829607</v>
      </c>
      <c r="I1938" s="1">
        <f>571*4691.3</f>
        <v>2678732.3000000003</v>
      </c>
      <c r="J1938" s="1">
        <f>467*4691.3</f>
        <v>2190837.1</v>
      </c>
      <c r="K1938" s="1">
        <v>0</v>
      </c>
      <c r="L1938" s="2">
        <v>0</v>
      </c>
      <c r="M1938" s="1">
        <v>0</v>
      </c>
      <c r="N1938" s="1">
        <v>887</v>
      </c>
      <c r="O1938" s="1">
        <f>N1938*4968</f>
        <v>4406616</v>
      </c>
      <c r="P1938" s="1">
        <v>50</v>
      </c>
      <c r="Q1938" s="1">
        <f t="shared" si="990"/>
        <v>70000</v>
      </c>
      <c r="R1938" s="1">
        <v>1500</v>
      </c>
      <c r="S1938" s="1">
        <f t="shared" si="991"/>
        <v>5626500</v>
      </c>
      <c r="T1938" s="1">
        <v>150000</v>
      </c>
      <c r="U1938" s="1">
        <v>50000</v>
      </c>
      <c r="V1938" s="1">
        <v>0</v>
      </c>
      <c r="W1938" s="1">
        <v>50000</v>
      </c>
      <c r="X1938" s="1">
        <v>0</v>
      </c>
      <c r="Y1938" s="1">
        <v>0</v>
      </c>
      <c r="Z1938" s="1">
        <v>0</v>
      </c>
      <c r="AA1938" s="1">
        <v>0</v>
      </c>
      <c r="AB1938" s="1">
        <v>0</v>
      </c>
      <c r="AC1938" s="1">
        <v>0</v>
      </c>
      <c r="AD1938" s="1">
        <v>0</v>
      </c>
    </row>
    <row r="1939" spans="1:30" s="20" customFormat="1" ht="36" customHeight="1" x14ac:dyDescent="0.25">
      <c r="A1939" s="2">
        <f t="shared" si="987"/>
        <v>1873</v>
      </c>
      <c r="B1939" s="3">
        <f t="shared" si="988"/>
        <v>1873</v>
      </c>
      <c r="C1939" s="19" t="s">
        <v>1182</v>
      </c>
      <c r="D1939" s="4">
        <f t="shared" si="1013"/>
        <v>28827958.5</v>
      </c>
      <c r="E1939" s="1">
        <f t="shared" si="989"/>
        <v>17662892.5</v>
      </c>
      <c r="F1939" s="1">
        <f>804*4500.1</f>
        <v>3618080.4000000004</v>
      </c>
      <c r="G1939" s="1">
        <f>1693*4500.1</f>
        <v>7618669.3000000007</v>
      </c>
      <c r="H1939" s="1">
        <f>390*4500.1</f>
        <v>1755039.0000000002</v>
      </c>
      <c r="I1939" s="1">
        <f>571*4500.1</f>
        <v>2569557.1</v>
      </c>
      <c r="J1939" s="1">
        <f>467*4500.1</f>
        <v>2101546.7000000002</v>
      </c>
      <c r="K1939" s="1">
        <v>0</v>
      </c>
      <c r="L1939" s="2">
        <v>0</v>
      </c>
      <c r="M1939" s="1">
        <v>0</v>
      </c>
      <c r="N1939" s="1">
        <v>910</v>
      </c>
      <c r="O1939" s="1">
        <f>N1939*4968</f>
        <v>4520880</v>
      </c>
      <c r="P1939" s="1">
        <v>50</v>
      </c>
      <c r="Q1939" s="1">
        <f t="shared" si="990"/>
        <v>70000</v>
      </c>
      <c r="R1939" s="1">
        <v>1686</v>
      </c>
      <c r="S1939" s="1">
        <f t="shared" si="991"/>
        <v>6324186</v>
      </c>
      <c r="T1939" s="1">
        <v>150000</v>
      </c>
      <c r="U1939" s="1">
        <v>50000</v>
      </c>
      <c r="V1939" s="1">
        <v>0</v>
      </c>
      <c r="W1939" s="1">
        <v>50000</v>
      </c>
      <c r="X1939" s="1">
        <v>0</v>
      </c>
      <c r="Y1939" s="1">
        <v>0</v>
      </c>
      <c r="Z1939" s="1">
        <v>0</v>
      </c>
      <c r="AA1939" s="1">
        <v>0</v>
      </c>
      <c r="AB1939" s="1">
        <v>0</v>
      </c>
      <c r="AC1939" s="1">
        <v>0</v>
      </c>
      <c r="AD1939" s="1">
        <v>0</v>
      </c>
    </row>
    <row r="1940" spans="1:30" s="20" customFormat="1" ht="36" customHeight="1" x14ac:dyDescent="0.25">
      <c r="A1940" s="2">
        <f t="shared" si="987"/>
        <v>1874</v>
      </c>
      <c r="B1940" s="3">
        <f t="shared" si="988"/>
        <v>1874</v>
      </c>
      <c r="C1940" s="19" t="s">
        <v>1185</v>
      </c>
      <c r="D1940" s="4">
        <f t="shared" si="1013"/>
        <v>7142265.5</v>
      </c>
      <c r="E1940" s="1">
        <f t="shared" si="989"/>
        <v>2860932.4999999995</v>
      </c>
      <c r="F1940" s="1">
        <f>804*728.9</f>
        <v>586035.6</v>
      </c>
      <c r="G1940" s="1">
        <f>1693*728.9</f>
        <v>1234027.7</v>
      </c>
      <c r="H1940" s="1">
        <f>390*728.9</f>
        <v>284271</v>
      </c>
      <c r="I1940" s="1">
        <f>571*728.9</f>
        <v>416201.89999999997</v>
      </c>
      <c r="J1940" s="1">
        <f>467*728.9</f>
        <v>340396.3</v>
      </c>
      <c r="K1940" s="1">
        <v>0</v>
      </c>
      <c r="L1940" s="2">
        <v>0</v>
      </c>
      <c r="M1940" s="1">
        <v>0</v>
      </c>
      <c r="N1940" s="1">
        <v>359</v>
      </c>
      <c r="O1940" s="1">
        <f>N1940*7750</f>
        <v>2782250</v>
      </c>
      <c r="P1940" s="1">
        <v>0</v>
      </c>
      <c r="Q1940" s="1">
        <f t="shared" si="990"/>
        <v>0</v>
      </c>
      <c r="R1940" s="1">
        <v>333</v>
      </c>
      <c r="S1940" s="1">
        <f t="shared" si="991"/>
        <v>1249083</v>
      </c>
      <c r="T1940" s="1">
        <v>150000</v>
      </c>
      <c r="U1940" s="1">
        <v>50000</v>
      </c>
      <c r="V1940" s="1">
        <v>0</v>
      </c>
      <c r="W1940" s="1">
        <v>50000</v>
      </c>
      <c r="X1940" s="1">
        <v>0</v>
      </c>
      <c r="Y1940" s="1">
        <v>0</v>
      </c>
      <c r="Z1940" s="1">
        <v>0</v>
      </c>
      <c r="AA1940" s="1">
        <v>0</v>
      </c>
      <c r="AB1940" s="1">
        <v>0</v>
      </c>
      <c r="AC1940" s="1">
        <v>0</v>
      </c>
      <c r="AD1940" s="1">
        <v>0</v>
      </c>
    </row>
    <row r="1941" spans="1:30" s="20" customFormat="1" ht="36" customHeight="1" x14ac:dyDescent="0.25">
      <c r="A1941" s="2">
        <f t="shared" si="987"/>
        <v>1875</v>
      </c>
      <c r="B1941" s="3">
        <f t="shared" ref="B1941" si="1014">A1941</f>
        <v>1875</v>
      </c>
      <c r="C1941" s="19" t="s">
        <v>2016</v>
      </c>
      <c r="D1941" s="4">
        <f t="shared" si="1013"/>
        <v>5520374</v>
      </c>
      <c r="E1941" s="1">
        <f t="shared" ref="E1941" si="1015">SUM(F1941:K1941)</f>
        <v>5470374</v>
      </c>
      <c r="F1941" s="1">
        <f>804*1631</f>
        <v>1311324</v>
      </c>
      <c r="G1941" s="1">
        <f>1693*1631</f>
        <v>2761283</v>
      </c>
      <c r="H1941" s="1">
        <f>390*1631</f>
        <v>636090</v>
      </c>
      <c r="I1941" s="1">
        <v>0</v>
      </c>
      <c r="J1941" s="1">
        <f>467*1631</f>
        <v>761677</v>
      </c>
      <c r="K1941" s="1">
        <v>0</v>
      </c>
      <c r="L1941" s="2">
        <v>0</v>
      </c>
      <c r="M1941" s="1">
        <v>0</v>
      </c>
      <c r="N1941" s="1">
        <v>0</v>
      </c>
      <c r="O1941" s="1">
        <f>N1941*7750</f>
        <v>0</v>
      </c>
      <c r="P1941" s="1">
        <v>0</v>
      </c>
      <c r="Q1941" s="1">
        <f t="shared" si="990"/>
        <v>0</v>
      </c>
      <c r="R1941" s="1">
        <v>0</v>
      </c>
      <c r="S1941" s="1">
        <f t="shared" si="991"/>
        <v>0</v>
      </c>
      <c r="T1941" s="1">
        <v>0</v>
      </c>
      <c r="U1941" s="1">
        <v>50000</v>
      </c>
      <c r="V1941" s="1">
        <v>0</v>
      </c>
      <c r="W1941" s="1">
        <v>0</v>
      </c>
      <c r="X1941" s="1">
        <v>0</v>
      </c>
      <c r="Y1941" s="1">
        <v>0</v>
      </c>
      <c r="Z1941" s="1">
        <v>0</v>
      </c>
      <c r="AA1941" s="1">
        <v>0</v>
      </c>
      <c r="AB1941" s="1">
        <v>0</v>
      </c>
      <c r="AC1941" s="1">
        <v>0</v>
      </c>
      <c r="AD1941" s="1">
        <v>0</v>
      </c>
    </row>
    <row r="1942" spans="1:30" s="20" customFormat="1" ht="36" customHeight="1" x14ac:dyDescent="0.25">
      <c r="A1942" s="2">
        <f t="shared" si="987"/>
        <v>1876</v>
      </c>
      <c r="B1942" s="3">
        <f t="shared" ref="B1942" si="1016">A1942</f>
        <v>1876</v>
      </c>
      <c r="C1942" s="19" t="s">
        <v>2017</v>
      </c>
      <c r="D1942" s="4">
        <f t="shared" si="1013"/>
        <v>10583123.399999999</v>
      </c>
      <c r="E1942" s="1">
        <f t="shared" ref="E1942" si="1017">SUM(F1942:K1942)</f>
        <v>6782123.3999999994</v>
      </c>
      <c r="F1942" s="1">
        <f>804*2022.1</f>
        <v>1625768.4</v>
      </c>
      <c r="G1942" s="1">
        <f>1693*2022.1</f>
        <v>3423415.3</v>
      </c>
      <c r="H1942" s="1">
        <f>390*2022.1</f>
        <v>788619</v>
      </c>
      <c r="I1942" s="1">
        <v>0</v>
      </c>
      <c r="J1942" s="1">
        <f>467*2022.1</f>
        <v>944320.7</v>
      </c>
      <c r="K1942" s="1">
        <v>0</v>
      </c>
      <c r="L1942" s="2">
        <v>0</v>
      </c>
      <c r="M1942" s="1">
        <v>0</v>
      </c>
      <c r="N1942" s="1">
        <v>0</v>
      </c>
      <c r="O1942" s="1">
        <f>N1942*7750</f>
        <v>0</v>
      </c>
      <c r="P1942" s="1">
        <v>0</v>
      </c>
      <c r="Q1942" s="1">
        <f t="shared" ref="Q1942" si="1018">P1942*1400</f>
        <v>0</v>
      </c>
      <c r="R1942" s="1">
        <v>1000</v>
      </c>
      <c r="S1942" s="1">
        <f t="shared" ref="S1942" si="1019">R1942*3751</f>
        <v>3751000</v>
      </c>
      <c r="T1942" s="1">
        <v>0</v>
      </c>
      <c r="U1942" s="1">
        <v>50000</v>
      </c>
      <c r="V1942" s="1">
        <v>0</v>
      </c>
      <c r="W1942" s="1">
        <v>0</v>
      </c>
      <c r="X1942" s="1">
        <v>0</v>
      </c>
      <c r="Y1942" s="1">
        <v>0</v>
      </c>
      <c r="Z1942" s="1">
        <v>0</v>
      </c>
      <c r="AA1942" s="1">
        <v>0</v>
      </c>
      <c r="AB1942" s="1">
        <v>0</v>
      </c>
      <c r="AC1942" s="1">
        <v>0</v>
      </c>
      <c r="AD1942" s="1">
        <v>0</v>
      </c>
    </row>
    <row r="1943" spans="1:30" s="20" customFormat="1" ht="36" customHeight="1" x14ac:dyDescent="0.25">
      <c r="A1943" s="2">
        <f t="shared" si="987"/>
        <v>1877</v>
      </c>
      <c r="B1943" s="3">
        <f t="shared" si="988"/>
        <v>1877</v>
      </c>
      <c r="C1943" s="19" t="s">
        <v>1186</v>
      </c>
      <c r="D1943" s="4">
        <f t="shared" si="1013"/>
        <v>38100299</v>
      </c>
      <c r="E1943" s="1">
        <f t="shared" si="989"/>
        <v>25026899</v>
      </c>
      <c r="F1943" s="1">
        <f>804*6376.28</f>
        <v>5126529.12</v>
      </c>
      <c r="G1943" s="1">
        <f>1693*6376.28</f>
        <v>10795042.039999999</v>
      </c>
      <c r="H1943" s="1">
        <f>390*6376.28</f>
        <v>2486749.1999999997</v>
      </c>
      <c r="I1943" s="1">
        <f>571*6376.28</f>
        <v>3640855.88</v>
      </c>
      <c r="J1943" s="1">
        <f>467*6376.28</f>
        <v>2977722.76</v>
      </c>
      <c r="K1943" s="1">
        <v>0</v>
      </c>
      <c r="L1943" s="2">
        <v>0</v>
      </c>
      <c r="M1943" s="1">
        <v>0</v>
      </c>
      <c r="N1943" s="1">
        <v>0</v>
      </c>
      <c r="O1943" s="1">
        <v>0</v>
      </c>
      <c r="P1943" s="1">
        <v>50</v>
      </c>
      <c r="Q1943" s="1">
        <f t="shared" si="990"/>
        <v>70000</v>
      </c>
      <c r="R1943" s="1">
        <v>3400</v>
      </c>
      <c r="S1943" s="1">
        <f t="shared" si="991"/>
        <v>12753400</v>
      </c>
      <c r="T1943" s="1">
        <v>150000</v>
      </c>
      <c r="U1943" s="1">
        <v>50000</v>
      </c>
      <c r="V1943" s="1">
        <v>0</v>
      </c>
      <c r="W1943" s="1">
        <v>50000</v>
      </c>
      <c r="X1943" s="1">
        <v>0</v>
      </c>
      <c r="Y1943" s="1">
        <v>0</v>
      </c>
      <c r="Z1943" s="1">
        <v>0</v>
      </c>
      <c r="AA1943" s="1">
        <v>0</v>
      </c>
      <c r="AB1943" s="1">
        <v>0</v>
      </c>
      <c r="AC1943" s="1">
        <v>0</v>
      </c>
      <c r="AD1943" s="1">
        <v>0</v>
      </c>
    </row>
    <row r="1944" spans="1:30" s="20" customFormat="1" ht="36" customHeight="1" x14ac:dyDescent="0.25">
      <c r="A1944" s="2">
        <f t="shared" si="987"/>
        <v>1878</v>
      </c>
      <c r="B1944" s="3">
        <f>A1944</f>
        <v>1878</v>
      </c>
      <c r="C1944" s="19" t="s">
        <v>1769</v>
      </c>
      <c r="D1944" s="4">
        <f t="shared" si="1013"/>
        <v>16852560</v>
      </c>
      <c r="E1944" s="1">
        <f>SUM(F1944:K1944)</f>
        <v>10990000</v>
      </c>
      <c r="F1944" s="1">
        <f>804*2800</f>
        <v>2251200</v>
      </c>
      <c r="G1944" s="1">
        <f>1693*2800</f>
        <v>4740400</v>
      </c>
      <c r="H1944" s="1">
        <f>390*2800</f>
        <v>1092000</v>
      </c>
      <c r="I1944" s="1">
        <f>571*2800</f>
        <v>1598800</v>
      </c>
      <c r="J1944" s="1">
        <f>467*2800</f>
        <v>1307600</v>
      </c>
      <c r="K1944" s="1">
        <v>0</v>
      </c>
      <c r="L1944" s="2">
        <v>0</v>
      </c>
      <c r="M1944" s="1">
        <v>0</v>
      </c>
      <c r="N1944" s="1">
        <v>1170</v>
      </c>
      <c r="O1944" s="1">
        <f>N1944*4968</f>
        <v>5812560</v>
      </c>
      <c r="P1944" s="1">
        <v>0</v>
      </c>
      <c r="Q1944" s="1">
        <f>P1944*1400</f>
        <v>0</v>
      </c>
      <c r="R1944" s="1">
        <v>0</v>
      </c>
      <c r="S1944" s="1">
        <f>R1944*3751</f>
        <v>0</v>
      </c>
      <c r="T1944" s="1">
        <v>0</v>
      </c>
      <c r="U1944" s="1">
        <v>50000</v>
      </c>
      <c r="V1944" s="1">
        <v>0</v>
      </c>
      <c r="W1944" s="1">
        <v>0</v>
      </c>
      <c r="X1944" s="1">
        <v>0</v>
      </c>
      <c r="Y1944" s="1">
        <v>0</v>
      </c>
      <c r="Z1944" s="1">
        <v>0</v>
      </c>
      <c r="AA1944" s="1">
        <v>0</v>
      </c>
      <c r="AB1944" s="1">
        <v>0</v>
      </c>
      <c r="AC1944" s="1">
        <v>0</v>
      </c>
      <c r="AD1944" s="1">
        <v>0</v>
      </c>
    </row>
    <row r="1945" spans="1:30" s="20" customFormat="1" ht="36" customHeight="1" x14ac:dyDescent="0.25">
      <c r="A1945" s="2">
        <f t="shared" si="987"/>
        <v>1879</v>
      </c>
      <c r="B1945" s="3">
        <f t="shared" si="988"/>
        <v>1879</v>
      </c>
      <c r="C1945" s="19" t="s">
        <v>1187</v>
      </c>
      <c r="D1945" s="4">
        <f t="shared" si="1013"/>
        <v>24872927</v>
      </c>
      <c r="E1945" s="1">
        <f t="shared" si="989"/>
        <v>14149625</v>
      </c>
      <c r="F1945" s="1">
        <f>804*3605</f>
        <v>2898420</v>
      </c>
      <c r="G1945" s="1">
        <f>1693*3605</f>
        <v>6103265</v>
      </c>
      <c r="H1945" s="1">
        <f>390*3605</f>
        <v>1405950</v>
      </c>
      <c r="I1945" s="1">
        <f>571*3605</f>
        <v>2058455</v>
      </c>
      <c r="J1945" s="1">
        <f>467*3605</f>
        <v>1683535</v>
      </c>
      <c r="K1945" s="1">
        <v>0</v>
      </c>
      <c r="L1945" s="2">
        <v>0</v>
      </c>
      <c r="M1945" s="1">
        <v>0</v>
      </c>
      <c r="N1945" s="1">
        <v>1110</v>
      </c>
      <c r="O1945" s="1">
        <f>N1945*4968</f>
        <v>5514480</v>
      </c>
      <c r="P1945" s="1">
        <v>0</v>
      </c>
      <c r="Q1945" s="1">
        <f t="shared" si="990"/>
        <v>0</v>
      </c>
      <c r="R1945" s="1">
        <v>1322</v>
      </c>
      <c r="S1945" s="1">
        <f t="shared" si="991"/>
        <v>4958822</v>
      </c>
      <c r="T1945" s="1">
        <v>150000</v>
      </c>
      <c r="U1945" s="1">
        <v>50000</v>
      </c>
      <c r="V1945" s="1">
        <v>0</v>
      </c>
      <c r="W1945" s="1">
        <v>50000</v>
      </c>
      <c r="X1945" s="1">
        <v>0</v>
      </c>
      <c r="Y1945" s="1">
        <v>0</v>
      </c>
      <c r="Z1945" s="1">
        <v>0</v>
      </c>
      <c r="AA1945" s="1">
        <v>0</v>
      </c>
      <c r="AB1945" s="1">
        <v>0</v>
      </c>
      <c r="AC1945" s="1">
        <v>0</v>
      </c>
      <c r="AD1945" s="1">
        <v>0</v>
      </c>
    </row>
    <row r="1946" spans="1:30" s="20" customFormat="1" ht="36" customHeight="1" x14ac:dyDescent="0.25">
      <c r="A1946" s="2">
        <f t="shared" si="987"/>
        <v>1880</v>
      </c>
      <c r="B1946" s="3">
        <f t="shared" si="988"/>
        <v>1880</v>
      </c>
      <c r="C1946" s="19" t="s">
        <v>1188</v>
      </c>
      <c r="D1946" s="4">
        <f t="shared" si="1013"/>
        <v>5614965</v>
      </c>
      <c r="E1946" s="1">
        <f t="shared" si="989"/>
        <v>1602184.9999999998</v>
      </c>
      <c r="F1946" s="1">
        <f>804*408.2</f>
        <v>328192.8</v>
      </c>
      <c r="G1946" s="1">
        <f>1693*408.2</f>
        <v>691082.6</v>
      </c>
      <c r="H1946" s="1">
        <f>390*408.2</f>
        <v>159198</v>
      </c>
      <c r="I1946" s="1">
        <f>571*408.2</f>
        <v>233082.19999999998</v>
      </c>
      <c r="J1946" s="1">
        <f>467*408.2</f>
        <v>190629.4</v>
      </c>
      <c r="K1946" s="1">
        <v>0</v>
      </c>
      <c r="L1946" s="2">
        <v>0</v>
      </c>
      <c r="M1946" s="1">
        <v>0</v>
      </c>
      <c r="N1946" s="1">
        <v>350</v>
      </c>
      <c r="O1946" s="1">
        <f>N1946*7750</f>
        <v>2712500</v>
      </c>
      <c r="P1946" s="1">
        <v>0</v>
      </c>
      <c r="Q1946" s="1">
        <f t="shared" si="990"/>
        <v>0</v>
      </c>
      <c r="R1946" s="1">
        <v>280</v>
      </c>
      <c r="S1946" s="1">
        <f t="shared" si="991"/>
        <v>1050280</v>
      </c>
      <c r="T1946" s="1">
        <v>150000</v>
      </c>
      <c r="U1946" s="1">
        <v>50000</v>
      </c>
      <c r="V1946" s="1">
        <v>0</v>
      </c>
      <c r="W1946" s="1">
        <v>50000</v>
      </c>
      <c r="X1946" s="1">
        <v>0</v>
      </c>
      <c r="Y1946" s="1">
        <v>0</v>
      </c>
      <c r="Z1946" s="1">
        <v>0</v>
      </c>
      <c r="AA1946" s="1">
        <v>0</v>
      </c>
      <c r="AB1946" s="1">
        <v>0</v>
      </c>
      <c r="AC1946" s="1">
        <v>0</v>
      </c>
      <c r="AD1946" s="1">
        <v>0</v>
      </c>
    </row>
    <row r="1947" spans="1:30" s="20" customFormat="1" ht="36" customHeight="1" x14ac:dyDescent="0.25">
      <c r="A1947" s="2">
        <f t="shared" si="987"/>
        <v>1881</v>
      </c>
      <c r="B1947" s="2">
        <f t="shared" si="988"/>
        <v>1881</v>
      </c>
      <c r="C1947" s="19" t="s">
        <v>1189</v>
      </c>
      <c r="D1947" s="39">
        <f t="shared" si="1013"/>
        <v>1540400</v>
      </c>
      <c r="E1947" s="1">
        <f t="shared" si="989"/>
        <v>0</v>
      </c>
      <c r="F1947" s="1">
        <v>0</v>
      </c>
      <c r="G1947" s="1">
        <f>1693*0</f>
        <v>0</v>
      </c>
      <c r="H1947" s="1">
        <v>0</v>
      </c>
      <c r="I1947" s="1">
        <v>0</v>
      </c>
      <c r="J1947" s="1">
        <v>0</v>
      </c>
      <c r="K1947" s="1">
        <v>0</v>
      </c>
      <c r="L1947" s="2">
        <v>0</v>
      </c>
      <c r="M1947" s="1">
        <v>0</v>
      </c>
      <c r="N1947" s="1">
        <v>300</v>
      </c>
      <c r="O1947" s="1">
        <f>N1947*4968</f>
        <v>1490400</v>
      </c>
      <c r="P1947" s="1">
        <v>0</v>
      </c>
      <c r="Q1947" s="1">
        <f t="shared" si="1003"/>
        <v>0</v>
      </c>
      <c r="R1947" s="1">
        <v>0</v>
      </c>
      <c r="S1947" s="1">
        <f t="shared" si="1004"/>
        <v>0</v>
      </c>
      <c r="T1947" s="1">
        <v>0</v>
      </c>
      <c r="U1947" s="1">
        <v>0</v>
      </c>
      <c r="V1947" s="1">
        <v>0</v>
      </c>
      <c r="W1947" s="1">
        <v>50000</v>
      </c>
      <c r="X1947" s="1">
        <v>0</v>
      </c>
      <c r="Y1947" s="1">
        <v>0</v>
      </c>
      <c r="Z1947" s="1">
        <v>0</v>
      </c>
      <c r="AA1947" s="1">
        <v>0</v>
      </c>
      <c r="AB1947" s="1">
        <v>0</v>
      </c>
      <c r="AC1947" s="1">
        <v>0</v>
      </c>
      <c r="AD1947" s="1">
        <v>0</v>
      </c>
    </row>
    <row r="1948" spans="1:30" s="20" customFormat="1" ht="36" customHeight="1" x14ac:dyDescent="0.25">
      <c r="A1948" s="2">
        <f t="shared" si="987"/>
        <v>1882</v>
      </c>
      <c r="B1948" s="2">
        <f t="shared" ref="B1948" si="1020">A1948</f>
        <v>1882</v>
      </c>
      <c r="C1948" s="19" t="s">
        <v>2018</v>
      </c>
      <c r="D1948" s="39">
        <f t="shared" si="1013"/>
        <v>18823582</v>
      </c>
      <c r="E1948" s="1">
        <f t="shared" ref="E1948" si="1021">SUM(F1948:K1948)</f>
        <v>7878260.0000000009</v>
      </c>
      <c r="F1948" s="1">
        <f>804*2007.2</f>
        <v>1613788.8</v>
      </c>
      <c r="G1948" s="1">
        <f>1693*2007.2</f>
        <v>3398189.6</v>
      </c>
      <c r="H1948" s="1">
        <f>390*2007.2</f>
        <v>782808</v>
      </c>
      <c r="I1948" s="1">
        <f>571*2007.2</f>
        <v>1146111.2</v>
      </c>
      <c r="J1948" s="1">
        <f>467*2007.2</f>
        <v>937362.4</v>
      </c>
      <c r="K1948" s="1">
        <v>0</v>
      </c>
      <c r="L1948" s="2">
        <v>0</v>
      </c>
      <c r="M1948" s="1">
        <v>0</v>
      </c>
      <c r="N1948" s="1">
        <v>887</v>
      </c>
      <c r="O1948" s="1">
        <f>N1948*7750</f>
        <v>6874250</v>
      </c>
      <c r="P1948" s="1">
        <v>0</v>
      </c>
      <c r="Q1948" s="1">
        <f t="shared" si="1003"/>
        <v>0</v>
      </c>
      <c r="R1948" s="1">
        <v>1072</v>
      </c>
      <c r="S1948" s="1">
        <f t="shared" si="1004"/>
        <v>4021072</v>
      </c>
      <c r="T1948" s="1">
        <v>0</v>
      </c>
      <c r="U1948" s="1">
        <v>50000</v>
      </c>
      <c r="V1948" s="1">
        <v>0</v>
      </c>
      <c r="W1948" s="1">
        <v>0</v>
      </c>
      <c r="X1948" s="1">
        <v>0</v>
      </c>
      <c r="Y1948" s="1">
        <v>0</v>
      </c>
      <c r="Z1948" s="1">
        <v>0</v>
      </c>
      <c r="AA1948" s="1">
        <v>0</v>
      </c>
      <c r="AB1948" s="1">
        <v>0</v>
      </c>
      <c r="AC1948" s="1">
        <v>0</v>
      </c>
      <c r="AD1948" s="1">
        <v>0</v>
      </c>
    </row>
    <row r="1949" spans="1:30" s="20" customFormat="1" ht="36" customHeight="1" x14ac:dyDescent="0.25">
      <c r="A1949" s="2">
        <f t="shared" si="987"/>
        <v>1883</v>
      </c>
      <c r="B1949" s="3">
        <f t="shared" si="988"/>
        <v>1883</v>
      </c>
      <c r="C1949" s="19" t="s">
        <v>1190</v>
      </c>
      <c r="D1949" s="4">
        <f t="shared" si="1013"/>
        <v>20205497.600000001</v>
      </c>
      <c r="E1949" s="1">
        <f t="shared" si="989"/>
        <v>12243441.600000001</v>
      </c>
      <c r="F1949" s="1">
        <f>804*3650.4</f>
        <v>2934921.6</v>
      </c>
      <c r="G1949" s="1">
        <f>1693*3650.4</f>
        <v>6180127.2000000002</v>
      </c>
      <c r="H1949" s="1">
        <f>390*3650.4</f>
        <v>1423656</v>
      </c>
      <c r="I1949" s="1">
        <v>0</v>
      </c>
      <c r="J1949" s="1">
        <f>467*3650.4</f>
        <v>1704736.8</v>
      </c>
      <c r="K1949" s="1">
        <v>0</v>
      </c>
      <c r="L1949" s="2">
        <v>0</v>
      </c>
      <c r="M1949" s="1">
        <v>0</v>
      </c>
      <c r="N1949" s="1">
        <v>0</v>
      </c>
      <c r="O1949" s="1">
        <v>0</v>
      </c>
      <c r="P1949" s="1">
        <v>0</v>
      </c>
      <c r="Q1949" s="1">
        <f t="shared" si="1003"/>
        <v>0</v>
      </c>
      <c r="R1949" s="1">
        <v>2056</v>
      </c>
      <c r="S1949" s="1">
        <f t="shared" si="1004"/>
        <v>7712056</v>
      </c>
      <c r="T1949" s="1">
        <v>150000</v>
      </c>
      <c r="U1949" s="1">
        <v>50000</v>
      </c>
      <c r="V1949" s="1">
        <v>0</v>
      </c>
      <c r="W1949" s="1">
        <v>50000</v>
      </c>
      <c r="X1949" s="1">
        <v>0</v>
      </c>
      <c r="Y1949" s="1">
        <v>0</v>
      </c>
      <c r="Z1949" s="1">
        <v>0</v>
      </c>
      <c r="AA1949" s="1">
        <v>0</v>
      </c>
      <c r="AB1949" s="1">
        <v>0</v>
      </c>
      <c r="AC1949" s="1">
        <v>0</v>
      </c>
      <c r="AD1949" s="1">
        <v>0</v>
      </c>
    </row>
    <row r="1950" spans="1:30" s="20" customFormat="1" ht="36" customHeight="1" x14ac:dyDescent="0.25">
      <c r="A1950" s="2">
        <f t="shared" si="987"/>
        <v>1884</v>
      </c>
      <c r="B1950" s="3">
        <f t="shared" si="988"/>
        <v>1884</v>
      </c>
      <c r="C1950" s="19" t="s">
        <v>1191</v>
      </c>
      <c r="D1950" s="4">
        <f t="shared" si="1013"/>
        <v>24236907</v>
      </c>
      <c r="E1950" s="1">
        <f t="shared" si="989"/>
        <v>16204851</v>
      </c>
      <c r="F1950" s="1">
        <f>804*4831.5</f>
        <v>3884526</v>
      </c>
      <c r="G1950" s="1">
        <f>1693*4831.5</f>
        <v>8179729.5</v>
      </c>
      <c r="H1950" s="1">
        <f>390*4831.5</f>
        <v>1884285</v>
      </c>
      <c r="I1950" s="1">
        <v>0</v>
      </c>
      <c r="J1950" s="1">
        <f>467*4831.5</f>
        <v>2256310.5</v>
      </c>
      <c r="K1950" s="1">
        <v>0</v>
      </c>
      <c r="L1950" s="2">
        <v>0</v>
      </c>
      <c r="M1950" s="1">
        <f>L1950*3500000</f>
        <v>0</v>
      </c>
      <c r="N1950" s="1">
        <v>0</v>
      </c>
      <c r="O1950" s="1">
        <v>0</v>
      </c>
      <c r="P1950" s="1">
        <v>50</v>
      </c>
      <c r="Q1950" s="1">
        <f t="shared" si="1003"/>
        <v>70000</v>
      </c>
      <c r="R1950" s="1">
        <v>2056</v>
      </c>
      <c r="S1950" s="1">
        <f t="shared" si="1004"/>
        <v>7712056</v>
      </c>
      <c r="T1950" s="1">
        <v>150000</v>
      </c>
      <c r="U1950" s="1">
        <v>50000</v>
      </c>
      <c r="V1950" s="1">
        <v>0</v>
      </c>
      <c r="W1950" s="1">
        <v>50000</v>
      </c>
      <c r="X1950" s="1">
        <v>0</v>
      </c>
      <c r="Y1950" s="1">
        <v>0</v>
      </c>
      <c r="Z1950" s="1">
        <v>0</v>
      </c>
      <c r="AA1950" s="1">
        <v>0</v>
      </c>
      <c r="AB1950" s="1">
        <v>0</v>
      </c>
      <c r="AC1950" s="1">
        <v>0</v>
      </c>
      <c r="AD1950" s="1">
        <v>0</v>
      </c>
    </row>
    <row r="1951" spans="1:30" s="20" customFormat="1" ht="36" customHeight="1" x14ac:dyDescent="0.25">
      <c r="A1951" s="2">
        <f t="shared" si="987"/>
        <v>1885</v>
      </c>
      <c r="B1951" s="3">
        <f>A1951</f>
        <v>1885</v>
      </c>
      <c r="C1951" s="19" t="s">
        <v>1770</v>
      </c>
      <c r="D1951" s="4">
        <f t="shared" si="1013"/>
        <v>9211557.5999999996</v>
      </c>
      <c r="E1951" s="1">
        <f>SUM(F1951:K1951)</f>
        <v>1249501.5999999999</v>
      </c>
      <c r="F1951" s="1">
        <v>0</v>
      </c>
      <c r="G1951" s="1">
        <f>1693*551.9</f>
        <v>934366.7</v>
      </c>
      <c r="H1951" s="1">
        <v>0</v>
      </c>
      <c r="I1951" s="1">
        <f>571*551.9</f>
        <v>315134.89999999997</v>
      </c>
      <c r="J1951" s="1">
        <v>0</v>
      </c>
      <c r="K1951" s="1">
        <v>0</v>
      </c>
      <c r="L1951" s="2">
        <v>0</v>
      </c>
      <c r="M1951" s="1">
        <v>0</v>
      </c>
      <c r="N1951" s="1">
        <v>0</v>
      </c>
      <c r="O1951" s="1">
        <f>N1951*7750</f>
        <v>0</v>
      </c>
      <c r="P1951" s="1">
        <v>0</v>
      </c>
      <c r="Q1951" s="1">
        <f>P1951*1400</f>
        <v>0</v>
      </c>
      <c r="R1951" s="1">
        <v>2056</v>
      </c>
      <c r="S1951" s="1">
        <f>R1951*3751</f>
        <v>7712056</v>
      </c>
      <c r="T1951" s="1">
        <v>150000</v>
      </c>
      <c r="U1951" s="1">
        <v>50000</v>
      </c>
      <c r="V1951" s="1">
        <v>0</v>
      </c>
      <c r="W1951" s="1">
        <v>50000</v>
      </c>
      <c r="X1951" s="1">
        <v>0</v>
      </c>
      <c r="Y1951" s="1">
        <v>0</v>
      </c>
      <c r="Z1951" s="1">
        <v>0</v>
      </c>
      <c r="AA1951" s="1">
        <v>0</v>
      </c>
      <c r="AB1951" s="1">
        <v>0</v>
      </c>
      <c r="AC1951" s="1">
        <v>0</v>
      </c>
      <c r="AD1951" s="1">
        <v>0</v>
      </c>
    </row>
    <row r="1952" spans="1:30" s="20" customFormat="1" ht="36" customHeight="1" x14ac:dyDescent="0.25">
      <c r="A1952" s="2">
        <f t="shared" si="987"/>
        <v>1886</v>
      </c>
      <c r="B1952" s="3">
        <f t="shared" ref="B1952" si="1022">A1952</f>
        <v>1886</v>
      </c>
      <c r="C1952" s="19" t="s">
        <v>2019</v>
      </c>
      <c r="D1952" s="4">
        <f t="shared" si="1013"/>
        <v>6172522.3000000007</v>
      </c>
      <c r="E1952" s="1">
        <f t="shared" ref="E1952" si="1023">SUM(F1952:K1952)</f>
        <v>1403984.4000000001</v>
      </c>
      <c r="F1952" s="1">
        <f>804*418.6</f>
        <v>336554.4</v>
      </c>
      <c r="G1952" s="1">
        <f>1693*418.6</f>
        <v>708689.8</v>
      </c>
      <c r="H1952" s="1">
        <f>390*418.6</f>
        <v>163254</v>
      </c>
      <c r="I1952" s="1">
        <v>0</v>
      </c>
      <c r="J1952" s="1">
        <f>467*418.6</f>
        <v>195486.2</v>
      </c>
      <c r="K1952" s="1">
        <v>0</v>
      </c>
      <c r="L1952" s="2">
        <v>0</v>
      </c>
      <c r="M1952" s="1">
        <v>0</v>
      </c>
      <c r="N1952" s="1">
        <v>396.9</v>
      </c>
      <c r="O1952" s="1">
        <f>N1952*7750</f>
        <v>3075975</v>
      </c>
      <c r="P1952" s="1">
        <v>0</v>
      </c>
      <c r="Q1952" s="1">
        <f t="shared" ref="Q1952" si="1024">P1952*1400</f>
        <v>0</v>
      </c>
      <c r="R1952" s="1">
        <v>437.9</v>
      </c>
      <c r="S1952" s="1">
        <f t="shared" ref="S1952" si="1025">R1952*3751</f>
        <v>1642562.9</v>
      </c>
      <c r="T1952" s="1">
        <v>0</v>
      </c>
      <c r="U1952" s="1">
        <v>50000</v>
      </c>
      <c r="V1952" s="1">
        <v>0</v>
      </c>
      <c r="W1952" s="1">
        <v>0</v>
      </c>
      <c r="X1952" s="1">
        <v>0</v>
      </c>
      <c r="Y1952" s="1">
        <v>0</v>
      </c>
      <c r="Z1952" s="1">
        <v>0</v>
      </c>
      <c r="AA1952" s="1">
        <v>0</v>
      </c>
      <c r="AB1952" s="1">
        <v>0</v>
      </c>
      <c r="AC1952" s="1">
        <v>0</v>
      </c>
      <c r="AD1952" s="1">
        <v>0</v>
      </c>
    </row>
    <row r="1953" spans="1:30" s="20" customFormat="1" ht="36" customHeight="1" x14ac:dyDescent="0.25">
      <c r="A1953" s="2">
        <f t="shared" si="987"/>
        <v>1887</v>
      </c>
      <c r="B1953" s="3">
        <f t="shared" si="988"/>
        <v>1887</v>
      </c>
      <c r="C1953" s="19" t="s">
        <v>1192</v>
      </c>
      <c r="D1953" s="4">
        <f t="shared" si="1013"/>
        <v>33090761</v>
      </c>
      <c r="E1953" s="1">
        <f t="shared" si="989"/>
        <v>13433704.999999998</v>
      </c>
      <c r="F1953" s="1">
        <f>804*3422.6</f>
        <v>2751770.4</v>
      </c>
      <c r="G1953" s="1">
        <f>1693*3422.6</f>
        <v>5794461.7999999998</v>
      </c>
      <c r="H1953" s="1">
        <f>390*3422.6</f>
        <v>1334814</v>
      </c>
      <c r="I1953" s="1">
        <f>571*3422.6</f>
        <v>1954304.5999999999</v>
      </c>
      <c r="J1953" s="1">
        <f>467*3422.6</f>
        <v>1598354.2</v>
      </c>
      <c r="K1953" s="1">
        <v>0</v>
      </c>
      <c r="L1953" s="2">
        <v>0</v>
      </c>
      <c r="M1953" s="1">
        <v>0</v>
      </c>
      <c r="N1953" s="1">
        <v>1500</v>
      </c>
      <c r="O1953" s="1">
        <f>N1953*7750</f>
        <v>11625000</v>
      </c>
      <c r="P1953" s="1">
        <v>50</v>
      </c>
      <c r="Q1953" s="1">
        <f t="shared" si="1003"/>
        <v>70000</v>
      </c>
      <c r="R1953" s="1">
        <v>2056</v>
      </c>
      <c r="S1953" s="1">
        <f t="shared" si="1004"/>
        <v>7712056</v>
      </c>
      <c r="T1953" s="1">
        <v>150000</v>
      </c>
      <c r="U1953" s="1">
        <v>50000</v>
      </c>
      <c r="V1953" s="1">
        <v>0</v>
      </c>
      <c r="W1953" s="1">
        <v>50000</v>
      </c>
      <c r="X1953" s="1">
        <v>0</v>
      </c>
      <c r="Y1953" s="1">
        <v>0</v>
      </c>
      <c r="Z1953" s="1">
        <v>0</v>
      </c>
      <c r="AA1953" s="1">
        <v>0</v>
      </c>
      <c r="AB1953" s="1">
        <v>0</v>
      </c>
      <c r="AC1953" s="1">
        <v>0</v>
      </c>
      <c r="AD1953" s="1">
        <v>0</v>
      </c>
    </row>
    <row r="1954" spans="1:30" s="20" customFormat="1" ht="36" customHeight="1" x14ac:dyDescent="0.25">
      <c r="A1954" s="2">
        <f t="shared" si="987"/>
        <v>1888</v>
      </c>
      <c r="B1954" s="3">
        <f t="shared" si="988"/>
        <v>1888</v>
      </c>
      <c r="C1954" s="19" t="s">
        <v>1193</v>
      </c>
      <c r="D1954" s="4">
        <f t="shared" si="1013"/>
        <v>21630061.5</v>
      </c>
      <c r="E1954" s="1">
        <f t="shared" si="989"/>
        <v>13598005.500000002</v>
      </c>
      <c r="F1954" s="1">
        <f>804*3464.46</f>
        <v>2785425.84</v>
      </c>
      <c r="G1954" s="1">
        <f>1693*3464.46</f>
        <v>5865330.7800000003</v>
      </c>
      <c r="H1954" s="1">
        <f>390*3464.46</f>
        <v>1351139.4</v>
      </c>
      <c r="I1954" s="1">
        <f>571*3464.46</f>
        <v>1978206.66</v>
      </c>
      <c r="J1954" s="1">
        <f>467*3464.46</f>
        <v>1617902.82</v>
      </c>
      <c r="K1954" s="1">
        <v>0</v>
      </c>
      <c r="L1954" s="2">
        <v>0</v>
      </c>
      <c r="M1954" s="1">
        <v>0</v>
      </c>
      <c r="N1954" s="1">
        <v>0</v>
      </c>
      <c r="O1954" s="1">
        <v>0</v>
      </c>
      <c r="P1954" s="1">
        <v>50</v>
      </c>
      <c r="Q1954" s="1">
        <f t="shared" si="1003"/>
        <v>70000</v>
      </c>
      <c r="R1954" s="1">
        <v>2056</v>
      </c>
      <c r="S1954" s="1">
        <f t="shared" si="1004"/>
        <v>7712056</v>
      </c>
      <c r="T1954" s="1">
        <v>150000</v>
      </c>
      <c r="U1954" s="1">
        <v>50000</v>
      </c>
      <c r="V1954" s="1">
        <v>0</v>
      </c>
      <c r="W1954" s="1">
        <v>50000</v>
      </c>
      <c r="X1954" s="1">
        <v>0</v>
      </c>
      <c r="Y1954" s="1">
        <v>0</v>
      </c>
      <c r="Z1954" s="1">
        <v>0</v>
      </c>
      <c r="AA1954" s="1">
        <v>0</v>
      </c>
      <c r="AB1954" s="1">
        <v>0</v>
      </c>
      <c r="AC1954" s="1">
        <v>0</v>
      </c>
      <c r="AD1954" s="1">
        <v>0</v>
      </c>
    </row>
    <row r="1955" spans="1:30" s="20" customFormat="1" ht="36" customHeight="1" x14ac:dyDescent="0.25">
      <c r="A1955" s="2">
        <f t="shared" si="987"/>
        <v>1889</v>
      </c>
      <c r="B1955" s="3">
        <f t="shared" ref="B1955:B1957" si="1026">A1955</f>
        <v>1889</v>
      </c>
      <c r="C1955" s="19" t="s">
        <v>2021</v>
      </c>
      <c r="D1955" s="4">
        <f t="shared" si="1013"/>
        <v>1646885.4000000001</v>
      </c>
      <c r="E1955" s="1">
        <f t="shared" ref="E1955:E1957" si="1027">SUM(F1955:K1955)</f>
        <v>1596885.4000000001</v>
      </c>
      <c r="F1955" s="1">
        <f>804*961.4</f>
        <v>772965.6</v>
      </c>
      <c r="G1955" s="1">
        <v>0</v>
      </c>
      <c r="H1955" s="1">
        <f>390*961.4</f>
        <v>374946</v>
      </c>
      <c r="I1955" s="1">
        <v>0</v>
      </c>
      <c r="J1955" s="1">
        <f>467*961.4</f>
        <v>448973.8</v>
      </c>
      <c r="K1955" s="1">
        <v>0</v>
      </c>
      <c r="L1955" s="2">
        <v>0</v>
      </c>
      <c r="M1955" s="1">
        <v>0</v>
      </c>
      <c r="N1955" s="1">
        <v>0</v>
      </c>
      <c r="O1955" s="1">
        <f>N1955*7750</f>
        <v>0</v>
      </c>
      <c r="P1955" s="1">
        <v>0</v>
      </c>
      <c r="Q1955" s="1">
        <f t="shared" ref="Q1955:Q1957" si="1028">P1955*1400</f>
        <v>0</v>
      </c>
      <c r="R1955" s="1">
        <v>0</v>
      </c>
      <c r="S1955" s="1">
        <f t="shared" ref="S1955:S1957" si="1029">R1955*3751</f>
        <v>0</v>
      </c>
      <c r="T1955" s="1">
        <v>0</v>
      </c>
      <c r="U1955" s="1">
        <v>50000</v>
      </c>
      <c r="V1955" s="1">
        <v>0</v>
      </c>
      <c r="W1955" s="1">
        <v>0</v>
      </c>
      <c r="X1955" s="1">
        <v>0</v>
      </c>
      <c r="Y1955" s="1">
        <v>0</v>
      </c>
      <c r="Z1955" s="1">
        <v>0</v>
      </c>
      <c r="AA1955" s="1">
        <v>0</v>
      </c>
      <c r="AB1955" s="1">
        <v>0</v>
      </c>
      <c r="AC1955" s="1">
        <v>0</v>
      </c>
      <c r="AD1955" s="1">
        <v>0</v>
      </c>
    </row>
    <row r="1956" spans="1:30" s="20" customFormat="1" ht="36" customHeight="1" x14ac:dyDescent="0.25">
      <c r="A1956" s="2">
        <f t="shared" si="987"/>
        <v>1890</v>
      </c>
      <c r="B1956" s="3">
        <f t="shared" ref="B1956" si="1030">A1956</f>
        <v>1890</v>
      </c>
      <c r="C1956" s="19" t="s">
        <v>2020</v>
      </c>
      <c r="D1956" s="4">
        <f t="shared" si="1013"/>
        <v>1461584.24</v>
      </c>
      <c r="E1956" s="1">
        <f t="shared" ref="E1956" si="1031">SUM(F1956:K1956)</f>
        <v>1411584.24</v>
      </c>
      <c r="F1956" s="1">
        <f>804*849.84</f>
        <v>683271.36</v>
      </c>
      <c r="G1956" s="1">
        <v>0</v>
      </c>
      <c r="H1956" s="1">
        <f>390*849.84</f>
        <v>331437.60000000003</v>
      </c>
      <c r="I1956" s="1">
        <v>0</v>
      </c>
      <c r="J1956" s="1">
        <f>467*849.84</f>
        <v>396875.28</v>
      </c>
      <c r="K1956" s="1">
        <v>0</v>
      </c>
      <c r="L1956" s="2">
        <v>0</v>
      </c>
      <c r="M1956" s="1">
        <v>0</v>
      </c>
      <c r="N1956" s="1">
        <v>0</v>
      </c>
      <c r="O1956" s="1">
        <f>N1956*7750</f>
        <v>0</v>
      </c>
      <c r="P1956" s="1">
        <v>0</v>
      </c>
      <c r="Q1956" s="1">
        <f t="shared" ref="Q1956" si="1032">P1956*1400</f>
        <v>0</v>
      </c>
      <c r="R1956" s="1">
        <v>0</v>
      </c>
      <c r="S1956" s="1">
        <f t="shared" ref="S1956" si="1033">R1956*3751</f>
        <v>0</v>
      </c>
      <c r="T1956" s="1">
        <v>0</v>
      </c>
      <c r="U1956" s="1">
        <v>50000</v>
      </c>
      <c r="V1956" s="1">
        <v>0</v>
      </c>
      <c r="W1956" s="1">
        <v>0</v>
      </c>
      <c r="X1956" s="1">
        <v>0</v>
      </c>
      <c r="Y1956" s="1">
        <v>0</v>
      </c>
      <c r="Z1956" s="1">
        <v>0</v>
      </c>
      <c r="AA1956" s="1">
        <v>0</v>
      </c>
      <c r="AB1956" s="1">
        <v>0</v>
      </c>
      <c r="AC1956" s="1">
        <v>0</v>
      </c>
      <c r="AD1956" s="1">
        <v>0</v>
      </c>
    </row>
    <row r="1957" spans="1:30" s="20" customFormat="1" ht="36" customHeight="1" x14ac:dyDescent="0.25">
      <c r="A1957" s="2">
        <f t="shared" si="987"/>
        <v>1891</v>
      </c>
      <c r="B1957" s="3">
        <f t="shared" si="1026"/>
        <v>1891</v>
      </c>
      <c r="C1957" s="19" t="s">
        <v>2022</v>
      </c>
      <c r="D1957" s="4">
        <f t="shared" si="1013"/>
        <v>1608516.2999999998</v>
      </c>
      <c r="E1957" s="1">
        <f t="shared" si="1027"/>
        <v>1558516.2999999998</v>
      </c>
      <c r="F1957" s="1">
        <f>804*938.3</f>
        <v>754393.2</v>
      </c>
      <c r="G1957" s="1">
        <v>0</v>
      </c>
      <c r="H1957" s="1">
        <f>390*938.3</f>
        <v>365937</v>
      </c>
      <c r="I1957" s="1">
        <v>0</v>
      </c>
      <c r="J1957" s="1">
        <f>467*938.3</f>
        <v>438186.1</v>
      </c>
      <c r="K1957" s="1">
        <v>0</v>
      </c>
      <c r="L1957" s="2">
        <v>0</v>
      </c>
      <c r="M1957" s="1">
        <v>0</v>
      </c>
      <c r="N1957" s="1">
        <v>0</v>
      </c>
      <c r="O1957" s="1">
        <f>N1957*7750</f>
        <v>0</v>
      </c>
      <c r="P1957" s="1">
        <v>0</v>
      </c>
      <c r="Q1957" s="1">
        <f t="shared" si="1028"/>
        <v>0</v>
      </c>
      <c r="R1957" s="1">
        <v>0</v>
      </c>
      <c r="S1957" s="1">
        <f t="shared" si="1029"/>
        <v>0</v>
      </c>
      <c r="T1957" s="1">
        <v>0</v>
      </c>
      <c r="U1957" s="1">
        <v>50000</v>
      </c>
      <c r="V1957" s="1">
        <v>0</v>
      </c>
      <c r="W1957" s="1">
        <v>0</v>
      </c>
      <c r="X1957" s="1">
        <v>0</v>
      </c>
      <c r="Y1957" s="1">
        <v>0</v>
      </c>
      <c r="Z1957" s="1">
        <v>0</v>
      </c>
      <c r="AA1957" s="1">
        <v>0</v>
      </c>
      <c r="AB1957" s="1">
        <v>0</v>
      </c>
      <c r="AC1957" s="1">
        <v>0</v>
      </c>
      <c r="AD1957" s="1">
        <v>0</v>
      </c>
    </row>
    <row r="1958" spans="1:30" s="20" customFormat="1" ht="36" customHeight="1" x14ac:dyDescent="0.25">
      <c r="A1958" s="2">
        <f t="shared" si="987"/>
        <v>1892</v>
      </c>
      <c r="B1958" s="3">
        <f t="shared" si="988"/>
        <v>1892</v>
      </c>
      <c r="C1958" s="19" t="s">
        <v>2023</v>
      </c>
      <c r="D1958" s="4">
        <f t="shared" si="1013"/>
        <v>1480287.1</v>
      </c>
      <c r="E1958" s="1">
        <f t="shared" si="989"/>
        <v>1430287.1</v>
      </c>
      <c r="F1958" s="1">
        <f>804*861.1</f>
        <v>692324.4</v>
      </c>
      <c r="G1958" s="1">
        <v>0</v>
      </c>
      <c r="H1958" s="1">
        <f>390*861.1</f>
        <v>335829</v>
      </c>
      <c r="I1958" s="1">
        <v>0</v>
      </c>
      <c r="J1958" s="1">
        <f>467*861.1</f>
        <v>402133.7</v>
      </c>
      <c r="K1958" s="1">
        <v>0</v>
      </c>
      <c r="L1958" s="2">
        <v>0</v>
      </c>
      <c r="M1958" s="1">
        <v>0</v>
      </c>
      <c r="N1958" s="1">
        <v>0</v>
      </c>
      <c r="O1958" s="1">
        <f>N1958*7750</f>
        <v>0</v>
      </c>
      <c r="P1958" s="1">
        <v>0</v>
      </c>
      <c r="Q1958" s="1">
        <f t="shared" si="1003"/>
        <v>0</v>
      </c>
      <c r="R1958" s="1">
        <v>0</v>
      </c>
      <c r="S1958" s="1">
        <f t="shared" si="1004"/>
        <v>0</v>
      </c>
      <c r="T1958" s="1">
        <v>0</v>
      </c>
      <c r="U1958" s="1">
        <v>50000</v>
      </c>
      <c r="V1958" s="1">
        <v>0</v>
      </c>
      <c r="W1958" s="1">
        <v>0</v>
      </c>
      <c r="X1958" s="1">
        <v>0</v>
      </c>
      <c r="Y1958" s="1">
        <v>0</v>
      </c>
      <c r="Z1958" s="1">
        <v>0</v>
      </c>
      <c r="AA1958" s="1">
        <v>0</v>
      </c>
      <c r="AB1958" s="1">
        <v>0</v>
      </c>
      <c r="AC1958" s="1">
        <v>0</v>
      </c>
      <c r="AD1958" s="1">
        <v>0</v>
      </c>
    </row>
    <row r="1959" spans="1:30" s="20" customFormat="1" ht="36" customHeight="1" x14ac:dyDescent="0.25">
      <c r="A1959" s="2">
        <f t="shared" si="987"/>
        <v>1893</v>
      </c>
      <c r="B1959" s="3">
        <f t="shared" si="988"/>
        <v>1893</v>
      </c>
      <c r="C1959" s="19" t="s">
        <v>1194</v>
      </c>
      <c r="D1959" s="4">
        <f t="shared" si="1013"/>
        <v>39729430</v>
      </c>
      <c r="E1959" s="1">
        <f t="shared" si="989"/>
        <v>26851082.000000004</v>
      </c>
      <c r="F1959" s="1">
        <f>804*6841.04</f>
        <v>5500196.1600000001</v>
      </c>
      <c r="G1959" s="1">
        <f>1693*6841.04</f>
        <v>11581880.720000001</v>
      </c>
      <c r="H1959" s="1">
        <f>390*6841.04</f>
        <v>2668005.6</v>
      </c>
      <c r="I1959" s="1">
        <f>571*6841.04</f>
        <v>3906233.84</v>
      </c>
      <c r="J1959" s="1">
        <f>467*6841.04</f>
        <v>3194765.68</v>
      </c>
      <c r="K1959" s="1">
        <v>0</v>
      </c>
      <c r="L1959" s="2">
        <v>0</v>
      </c>
      <c r="M1959" s="1">
        <v>0</v>
      </c>
      <c r="N1959" s="1">
        <v>0</v>
      </c>
      <c r="O1959" s="1">
        <v>0</v>
      </c>
      <c r="P1959" s="1">
        <v>50</v>
      </c>
      <c r="Q1959" s="1">
        <f t="shared" si="1003"/>
        <v>70000</v>
      </c>
      <c r="R1959" s="1">
        <v>3348</v>
      </c>
      <c r="S1959" s="1">
        <f t="shared" si="1004"/>
        <v>12558348</v>
      </c>
      <c r="T1959" s="1">
        <v>150000</v>
      </c>
      <c r="U1959" s="1">
        <v>50000</v>
      </c>
      <c r="V1959" s="1">
        <v>0</v>
      </c>
      <c r="W1959" s="1">
        <v>50000</v>
      </c>
      <c r="X1959" s="1">
        <v>0</v>
      </c>
      <c r="Y1959" s="1">
        <v>0</v>
      </c>
      <c r="Z1959" s="1">
        <v>0</v>
      </c>
      <c r="AA1959" s="1">
        <v>0</v>
      </c>
      <c r="AB1959" s="1">
        <v>0</v>
      </c>
      <c r="AC1959" s="1">
        <v>0</v>
      </c>
      <c r="AD1959" s="1">
        <v>0</v>
      </c>
    </row>
    <row r="1960" spans="1:30" s="20" customFormat="1" ht="36" customHeight="1" x14ac:dyDescent="0.25">
      <c r="A1960" s="2">
        <f t="shared" si="987"/>
        <v>1894</v>
      </c>
      <c r="B1960" s="3">
        <f t="shared" si="988"/>
        <v>1894</v>
      </c>
      <c r="C1960" s="19" t="s">
        <v>1196</v>
      </c>
      <c r="D1960" s="4">
        <f t="shared" si="1013"/>
        <v>8232646.4000000004</v>
      </c>
      <c r="E1960" s="1">
        <f t="shared" si="989"/>
        <v>1345410</v>
      </c>
      <c r="F1960" s="1">
        <f>804*810</f>
        <v>651240</v>
      </c>
      <c r="G1960" s="1">
        <f>1693*0</f>
        <v>0</v>
      </c>
      <c r="H1960" s="1">
        <f>390*810</f>
        <v>315900</v>
      </c>
      <c r="I1960" s="1">
        <v>0</v>
      </c>
      <c r="J1960" s="1">
        <f>467*810</f>
        <v>378270</v>
      </c>
      <c r="K1960" s="1">
        <v>0</v>
      </c>
      <c r="L1960" s="2">
        <v>0</v>
      </c>
      <c r="M1960" s="1">
        <v>0</v>
      </c>
      <c r="N1960" s="1">
        <v>500</v>
      </c>
      <c r="O1960" s="1">
        <f>N1960*7750</f>
        <v>3875000</v>
      </c>
      <c r="P1960" s="1">
        <v>0</v>
      </c>
      <c r="Q1960" s="1">
        <f t="shared" si="1003"/>
        <v>0</v>
      </c>
      <c r="R1960" s="1">
        <v>736.4</v>
      </c>
      <c r="S1960" s="1">
        <f t="shared" si="1004"/>
        <v>2762236.4</v>
      </c>
      <c r="T1960" s="1">
        <v>150000</v>
      </c>
      <c r="U1960" s="1">
        <v>50000</v>
      </c>
      <c r="V1960" s="1">
        <v>0</v>
      </c>
      <c r="W1960" s="1">
        <v>50000</v>
      </c>
      <c r="X1960" s="1">
        <v>0</v>
      </c>
      <c r="Y1960" s="1">
        <v>0</v>
      </c>
      <c r="Z1960" s="1">
        <v>0</v>
      </c>
      <c r="AA1960" s="1">
        <v>0</v>
      </c>
      <c r="AB1960" s="1">
        <v>0</v>
      </c>
      <c r="AC1960" s="1">
        <v>0</v>
      </c>
      <c r="AD1960" s="1">
        <v>0</v>
      </c>
    </row>
    <row r="1961" spans="1:30" s="20" customFormat="1" ht="36" customHeight="1" x14ac:dyDescent="0.25">
      <c r="A1961" s="2">
        <f t="shared" si="987"/>
        <v>1895</v>
      </c>
      <c r="B1961" s="3">
        <f t="shared" ref="B1961" si="1034">A1961</f>
        <v>1895</v>
      </c>
      <c r="C1961" s="19" t="s">
        <v>2024</v>
      </c>
      <c r="D1961" s="4">
        <f t="shared" si="1013"/>
        <v>11398887.5</v>
      </c>
      <c r="E1961" s="1">
        <f t="shared" ref="E1961" si="1035">SUM(F1961:K1961)</f>
        <v>4880737.5</v>
      </c>
      <c r="F1961" s="1">
        <f>804*1243.5</f>
        <v>999774</v>
      </c>
      <c r="G1961" s="1">
        <f>1693*1243.5</f>
        <v>2105245.5</v>
      </c>
      <c r="H1961" s="1">
        <f>390*1243.5</f>
        <v>484965</v>
      </c>
      <c r="I1961" s="1">
        <f>571*1243.5</f>
        <v>710038.5</v>
      </c>
      <c r="J1961" s="1">
        <f>467*1243.5</f>
        <v>580714.5</v>
      </c>
      <c r="K1961" s="1">
        <v>0</v>
      </c>
      <c r="L1961" s="2">
        <v>0</v>
      </c>
      <c r="M1961" s="1">
        <v>0</v>
      </c>
      <c r="N1961" s="1">
        <v>520</v>
      </c>
      <c r="O1961" s="1">
        <f>N1961*7750</f>
        <v>4030000</v>
      </c>
      <c r="P1961" s="1">
        <v>0</v>
      </c>
      <c r="Q1961" s="1">
        <f t="shared" ref="Q1961" si="1036">P1961*1400</f>
        <v>0</v>
      </c>
      <c r="R1961" s="1">
        <v>650</v>
      </c>
      <c r="S1961" s="1">
        <f t="shared" ref="S1961" si="1037">R1961*3751</f>
        <v>2438150</v>
      </c>
      <c r="T1961" s="1">
        <v>0</v>
      </c>
      <c r="U1961" s="1">
        <v>50000</v>
      </c>
      <c r="V1961" s="1">
        <v>0</v>
      </c>
      <c r="W1961" s="1">
        <v>0</v>
      </c>
      <c r="X1961" s="1">
        <v>0</v>
      </c>
      <c r="Y1961" s="1">
        <v>0</v>
      </c>
      <c r="Z1961" s="1">
        <v>0</v>
      </c>
      <c r="AA1961" s="1">
        <v>0</v>
      </c>
      <c r="AB1961" s="1">
        <v>0</v>
      </c>
      <c r="AC1961" s="1">
        <v>0</v>
      </c>
      <c r="AD1961" s="1">
        <v>0</v>
      </c>
    </row>
    <row r="1962" spans="1:30" s="20" customFormat="1" ht="36" customHeight="1" x14ac:dyDescent="0.25">
      <c r="A1962" s="2">
        <f t="shared" si="987"/>
        <v>1896</v>
      </c>
      <c r="B1962" s="3">
        <f t="shared" si="988"/>
        <v>1896</v>
      </c>
      <c r="C1962" s="19" t="s">
        <v>1198</v>
      </c>
      <c r="D1962" s="4">
        <f t="shared" si="1013"/>
        <v>38227726</v>
      </c>
      <c r="E1962" s="1">
        <f t="shared" si="989"/>
        <v>17676630</v>
      </c>
      <c r="F1962" s="1">
        <f>804*4503.6</f>
        <v>3620894.4000000004</v>
      </c>
      <c r="G1962" s="1">
        <f>1693*4503.6</f>
        <v>7624594.8000000007</v>
      </c>
      <c r="H1962" s="1">
        <f>390*4503.6</f>
        <v>1756404.0000000002</v>
      </c>
      <c r="I1962" s="1">
        <f>571*4503.6</f>
        <v>2571555.6</v>
      </c>
      <c r="J1962" s="1">
        <f>467*4503.6</f>
        <v>2103181.2000000002</v>
      </c>
      <c r="K1962" s="1">
        <v>0</v>
      </c>
      <c r="L1962" s="2">
        <v>0</v>
      </c>
      <c r="M1962" s="1">
        <v>0</v>
      </c>
      <c r="N1962" s="1">
        <v>1475</v>
      </c>
      <c r="O1962" s="1">
        <f>N1962*7750</f>
        <v>11431250</v>
      </c>
      <c r="P1962" s="1">
        <v>50</v>
      </c>
      <c r="Q1962" s="1">
        <f t="shared" si="1003"/>
        <v>70000</v>
      </c>
      <c r="R1962" s="1">
        <v>2346</v>
      </c>
      <c r="S1962" s="1">
        <f t="shared" si="1004"/>
        <v>8799846</v>
      </c>
      <c r="T1962" s="1">
        <v>150000</v>
      </c>
      <c r="U1962" s="1">
        <v>50000</v>
      </c>
      <c r="V1962" s="1">
        <v>0</v>
      </c>
      <c r="W1962" s="1">
        <v>50000</v>
      </c>
      <c r="X1962" s="1">
        <v>0</v>
      </c>
      <c r="Y1962" s="1">
        <v>0</v>
      </c>
      <c r="Z1962" s="1">
        <v>0</v>
      </c>
      <c r="AA1962" s="1">
        <v>0</v>
      </c>
      <c r="AB1962" s="1">
        <v>0</v>
      </c>
      <c r="AC1962" s="1">
        <v>0</v>
      </c>
      <c r="AD1962" s="1">
        <v>0</v>
      </c>
    </row>
    <row r="1963" spans="1:30" s="20" customFormat="1" ht="36" customHeight="1" x14ac:dyDescent="0.25">
      <c r="A1963" s="2">
        <f t="shared" si="987"/>
        <v>1897</v>
      </c>
      <c r="B1963" s="3">
        <f t="shared" si="988"/>
        <v>1897</v>
      </c>
      <c r="C1963" s="19" t="s">
        <v>1199</v>
      </c>
      <c r="D1963" s="4">
        <f t="shared" si="1013"/>
        <v>20320221.5</v>
      </c>
      <c r="E1963" s="1">
        <f t="shared" si="989"/>
        <v>13814822.499999998</v>
      </c>
      <c r="F1963" s="1">
        <f>804*3519.7</f>
        <v>2829838.8</v>
      </c>
      <c r="G1963" s="1">
        <f>1693*3519.7</f>
        <v>5958852.0999999996</v>
      </c>
      <c r="H1963" s="1">
        <f>390*3519.7</f>
        <v>1372683</v>
      </c>
      <c r="I1963" s="1">
        <f>571*3519.7</f>
        <v>2009748.7</v>
      </c>
      <c r="J1963" s="1">
        <f>467*3519.7</f>
        <v>1643699.9</v>
      </c>
      <c r="K1963" s="1">
        <v>0</v>
      </c>
      <c r="L1963" s="2">
        <v>0</v>
      </c>
      <c r="M1963" s="1">
        <v>0</v>
      </c>
      <c r="N1963" s="1">
        <v>0</v>
      </c>
      <c r="O1963" s="1">
        <v>0</v>
      </c>
      <c r="P1963" s="1">
        <v>50</v>
      </c>
      <c r="Q1963" s="1">
        <f t="shared" si="1003"/>
        <v>70000</v>
      </c>
      <c r="R1963" s="1">
        <v>1649</v>
      </c>
      <c r="S1963" s="1">
        <f t="shared" si="1004"/>
        <v>6185399</v>
      </c>
      <c r="T1963" s="1">
        <v>150000</v>
      </c>
      <c r="U1963" s="1">
        <v>50000</v>
      </c>
      <c r="V1963" s="1">
        <v>0</v>
      </c>
      <c r="W1963" s="1">
        <v>50000</v>
      </c>
      <c r="X1963" s="1">
        <v>0</v>
      </c>
      <c r="Y1963" s="1">
        <v>0</v>
      </c>
      <c r="Z1963" s="1">
        <v>0</v>
      </c>
      <c r="AA1963" s="1">
        <v>0</v>
      </c>
      <c r="AB1963" s="1">
        <v>0</v>
      </c>
      <c r="AC1963" s="1">
        <v>0</v>
      </c>
      <c r="AD1963" s="1">
        <v>0</v>
      </c>
    </row>
    <row r="1964" spans="1:30" s="20" customFormat="1" ht="36" customHeight="1" x14ac:dyDescent="0.25">
      <c r="A1964" s="2">
        <f t="shared" ref="A1964:A2001" si="1038">ROW()-ROW($A$11)-55</f>
        <v>1898</v>
      </c>
      <c r="B1964" s="3">
        <f>A1964</f>
        <v>1898</v>
      </c>
      <c r="C1964" s="19" t="s">
        <v>1204</v>
      </c>
      <c r="D1964" s="4">
        <f t="shared" si="1013"/>
        <v>9522277.8000000007</v>
      </c>
      <c r="E1964" s="1">
        <f>SUM(F1964:K1964)</f>
        <v>2375302.8000000003</v>
      </c>
      <c r="F1964" s="1">
        <f>804*708.2</f>
        <v>569392.80000000005</v>
      </c>
      <c r="G1964" s="1">
        <f>1693*708.2</f>
        <v>1198982.6000000001</v>
      </c>
      <c r="H1964" s="1">
        <f>390*708.2</f>
        <v>276198</v>
      </c>
      <c r="I1964" s="1">
        <f>571*0</f>
        <v>0</v>
      </c>
      <c r="J1964" s="1">
        <f>467*708.2</f>
        <v>330729.40000000002</v>
      </c>
      <c r="K1964" s="1">
        <v>0</v>
      </c>
      <c r="L1964" s="2">
        <v>0</v>
      </c>
      <c r="M1964" s="1">
        <v>0</v>
      </c>
      <c r="N1964" s="1">
        <v>651</v>
      </c>
      <c r="O1964" s="1">
        <f>N1964*7750</f>
        <v>5045250</v>
      </c>
      <c r="P1964" s="1">
        <v>50</v>
      </c>
      <c r="Q1964" s="1">
        <f>P1964*1400</f>
        <v>70000</v>
      </c>
      <c r="R1964" s="1">
        <v>475</v>
      </c>
      <c r="S1964" s="1">
        <f>R1964*3751</f>
        <v>1781725</v>
      </c>
      <c r="T1964" s="1">
        <v>150000</v>
      </c>
      <c r="U1964" s="1">
        <v>50000</v>
      </c>
      <c r="V1964" s="1">
        <v>0</v>
      </c>
      <c r="W1964" s="1">
        <v>50000</v>
      </c>
      <c r="X1964" s="1">
        <v>0</v>
      </c>
      <c r="Y1964" s="1">
        <v>0</v>
      </c>
      <c r="Z1964" s="1">
        <v>0</v>
      </c>
      <c r="AA1964" s="1">
        <v>0</v>
      </c>
      <c r="AB1964" s="1">
        <v>0</v>
      </c>
      <c r="AC1964" s="1">
        <v>0</v>
      </c>
      <c r="AD1964" s="1">
        <v>0</v>
      </c>
    </row>
    <row r="1965" spans="1:30" s="20" customFormat="1" ht="36" customHeight="1" x14ac:dyDescent="0.25">
      <c r="A1965" s="2">
        <f t="shared" si="1038"/>
        <v>1899</v>
      </c>
      <c r="B1965" s="3">
        <f>A1965</f>
        <v>1899</v>
      </c>
      <c r="C1965" s="19" t="s">
        <v>1205</v>
      </c>
      <c r="D1965" s="4">
        <f t="shared" si="1013"/>
        <v>25664301</v>
      </c>
      <c r="E1965" s="1">
        <f>SUM(F1965:K1965)</f>
        <v>13817570.000000002</v>
      </c>
      <c r="F1965" s="1">
        <f>804*3520.4</f>
        <v>2830401.6</v>
      </c>
      <c r="G1965" s="1">
        <f>1693*3520.4</f>
        <v>5960037.2000000002</v>
      </c>
      <c r="H1965" s="1">
        <f>390*3520.4</f>
        <v>1372956</v>
      </c>
      <c r="I1965" s="1">
        <f>571*3520.4</f>
        <v>2010148.4000000001</v>
      </c>
      <c r="J1965" s="1">
        <f>467*3520.4</f>
        <v>1644026.8</v>
      </c>
      <c r="K1965" s="1">
        <v>0</v>
      </c>
      <c r="L1965" s="2">
        <v>0</v>
      </c>
      <c r="M1965" s="1">
        <v>0</v>
      </c>
      <c r="N1965" s="1">
        <v>903</v>
      </c>
      <c r="O1965" s="1">
        <f>N1965*4968</f>
        <v>4486104</v>
      </c>
      <c r="P1965" s="1">
        <v>50</v>
      </c>
      <c r="Q1965" s="1">
        <f>P1965*1400</f>
        <v>70000</v>
      </c>
      <c r="R1965" s="1">
        <v>1877</v>
      </c>
      <c r="S1965" s="1">
        <f>R1965*3751</f>
        <v>7040627</v>
      </c>
      <c r="T1965" s="1">
        <v>150000</v>
      </c>
      <c r="U1965" s="1">
        <v>50000</v>
      </c>
      <c r="V1965" s="1">
        <v>0</v>
      </c>
      <c r="W1965" s="1">
        <v>50000</v>
      </c>
      <c r="X1965" s="1">
        <v>0</v>
      </c>
      <c r="Y1965" s="1">
        <v>0</v>
      </c>
      <c r="Z1965" s="1">
        <v>0</v>
      </c>
      <c r="AA1965" s="1">
        <v>0</v>
      </c>
      <c r="AB1965" s="1">
        <v>0</v>
      </c>
      <c r="AC1965" s="1">
        <v>0</v>
      </c>
      <c r="AD1965" s="1">
        <v>0</v>
      </c>
    </row>
    <row r="1966" spans="1:30" s="20" customFormat="1" ht="36" customHeight="1" x14ac:dyDescent="0.25">
      <c r="A1966" s="2">
        <f t="shared" si="987"/>
        <v>1900</v>
      </c>
      <c r="B1966" s="3">
        <f>A1966</f>
        <v>1900</v>
      </c>
      <c r="C1966" s="19" t="s">
        <v>1197</v>
      </c>
      <c r="D1966" s="4">
        <f t="shared" si="1013"/>
        <v>39936855.75</v>
      </c>
      <c r="E1966" s="1">
        <f>SUM(F1966:K1966)</f>
        <v>28251325.750000004</v>
      </c>
      <c r="F1966" s="1">
        <f>804*7197.79</f>
        <v>5787023.1600000001</v>
      </c>
      <c r="G1966" s="1">
        <f>1693*7197.79</f>
        <v>12185858.470000001</v>
      </c>
      <c r="H1966" s="1">
        <f>390*7197.79</f>
        <v>2807138.1</v>
      </c>
      <c r="I1966" s="1">
        <f>571*7197.79</f>
        <v>4109938.09</v>
      </c>
      <c r="J1966" s="1">
        <f>467*7197.79</f>
        <v>3361367.93</v>
      </c>
      <c r="K1966" s="1">
        <v>0</v>
      </c>
      <c r="L1966" s="2">
        <v>0</v>
      </c>
      <c r="M1966" s="1">
        <v>0</v>
      </c>
      <c r="N1966" s="1">
        <v>0</v>
      </c>
      <c r="O1966" s="1">
        <v>0</v>
      </c>
      <c r="P1966" s="1">
        <v>50</v>
      </c>
      <c r="Q1966" s="1">
        <f>P1966*1400</f>
        <v>70000</v>
      </c>
      <c r="R1966" s="1">
        <v>3030</v>
      </c>
      <c r="S1966" s="1">
        <f>R1966*3751</f>
        <v>11365530</v>
      </c>
      <c r="T1966" s="1">
        <v>150000</v>
      </c>
      <c r="U1966" s="1">
        <v>50000</v>
      </c>
      <c r="V1966" s="1">
        <v>0</v>
      </c>
      <c r="W1966" s="1">
        <v>50000</v>
      </c>
      <c r="X1966" s="1">
        <v>0</v>
      </c>
      <c r="Y1966" s="1">
        <v>0</v>
      </c>
      <c r="Z1966" s="1">
        <v>0</v>
      </c>
      <c r="AA1966" s="1">
        <v>0</v>
      </c>
      <c r="AB1966" s="1">
        <v>0</v>
      </c>
      <c r="AC1966" s="1">
        <v>0</v>
      </c>
      <c r="AD1966" s="1">
        <v>0</v>
      </c>
    </row>
    <row r="1967" spans="1:30" s="20" customFormat="1" ht="36" customHeight="1" x14ac:dyDescent="0.25">
      <c r="A1967" s="2">
        <f t="shared" si="987"/>
        <v>1901</v>
      </c>
      <c r="B1967" s="3">
        <f t="shared" si="988"/>
        <v>1901</v>
      </c>
      <c r="C1967" s="19" t="s">
        <v>1200</v>
      </c>
      <c r="D1967" s="4">
        <f t="shared" ref="D1967:D1998" si="1039">E1967+M1967+O1967+Q1967+S1967+T1967+U1967+V1967+W1967+X1967+Z1967+AA1967+AB1967+AC1967+AD1967</f>
        <v>42040753</v>
      </c>
      <c r="E1967" s="1">
        <f t="shared" si="989"/>
        <v>28393450</v>
      </c>
      <c r="F1967" s="1">
        <f>804*7234</f>
        <v>5816136</v>
      </c>
      <c r="G1967" s="1">
        <f>1693*7234</f>
        <v>12247162</v>
      </c>
      <c r="H1967" s="1">
        <f>390*7234</f>
        <v>2821260</v>
      </c>
      <c r="I1967" s="1">
        <f>571*7234</f>
        <v>4130614</v>
      </c>
      <c r="J1967" s="1">
        <f>467*7234</f>
        <v>3378278</v>
      </c>
      <c r="K1967" s="1">
        <v>0</v>
      </c>
      <c r="L1967" s="2">
        <v>0</v>
      </c>
      <c r="M1967" s="1">
        <v>0</v>
      </c>
      <c r="N1967" s="1">
        <v>0</v>
      </c>
      <c r="O1967" s="1">
        <v>0</v>
      </c>
      <c r="P1967" s="1">
        <v>50</v>
      </c>
      <c r="Q1967" s="1">
        <f t="shared" si="1003"/>
        <v>70000</v>
      </c>
      <c r="R1967" s="1">
        <v>3553</v>
      </c>
      <c r="S1967" s="1">
        <f t="shared" si="1004"/>
        <v>13327303</v>
      </c>
      <c r="T1967" s="1">
        <v>150000</v>
      </c>
      <c r="U1967" s="1">
        <v>50000</v>
      </c>
      <c r="V1967" s="1">
        <v>0</v>
      </c>
      <c r="W1967" s="1">
        <v>50000</v>
      </c>
      <c r="X1967" s="1">
        <v>0</v>
      </c>
      <c r="Y1967" s="1">
        <v>0</v>
      </c>
      <c r="Z1967" s="1">
        <v>0</v>
      </c>
      <c r="AA1967" s="1">
        <v>0</v>
      </c>
      <c r="AB1967" s="1">
        <v>0</v>
      </c>
      <c r="AC1967" s="1">
        <v>0</v>
      </c>
      <c r="AD1967" s="1">
        <v>0</v>
      </c>
    </row>
    <row r="1968" spans="1:30" s="20" customFormat="1" ht="36" customHeight="1" x14ac:dyDescent="0.25">
      <c r="A1968" s="2">
        <f t="shared" si="987"/>
        <v>1902</v>
      </c>
      <c r="B1968" s="3">
        <f t="shared" si="988"/>
        <v>1902</v>
      </c>
      <c r="C1968" s="19" t="s">
        <v>1201</v>
      </c>
      <c r="D1968" s="4">
        <f t="shared" si="1039"/>
        <v>18882550</v>
      </c>
      <c r="E1968" s="1">
        <f t="shared" si="989"/>
        <v>11904525</v>
      </c>
      <c r="F1968" s="1">
        <f>804*3033</f>
        <v>2438532</v>
      </c>
      <c r="G1968" s="1">
        <f>1693*3033</f>
        <v>5134869</v>
      </c>
      <c r="H1968" s="1">
        <f>390*3033</f>
        <v>1182870</v>
      </c>
      <c r="I1968" s="1">
        <f>571*3033</f>
        <v>1731843</v>
      </c>
      <c r="J1968" s="1">
        <f>467*3033</f>
        <v>1416411</v>
      </c>
      <c r="K1968" s="1">
        <v>0</v>
      </c>
      <c r="L1968" s="2">
        <v>0</v>
      </c>
      <c r="M1968" s="1">
        <v>0</v>
      </c>
      <c r="N1968" s="1">
        <v>0</v>
      </c>
      <c r="O1968" s="1">
        <v>0</v>
      </c>
      <c r="P1968" s="1">
        <v>50</v>
      </c>
      <c r="Q1968" s="1">
        <f t="shared" si="1003"/>
        <v>70000</v>
      </c>
      <c r="R1968" s="1">
        <v>1775</v>
      </c>
      <c r="S1968" s="1">
        <f t="shared" si="1004"/>
        <v>6658025</v>
      </c>
      <c r="T1968" s="1">
        <v>150000</v>
      </c>
      <c r="U1968" s="1">
        <v>50000</v>
      </c>
      <c r="V1968" s="1">
        <v>0</v>
      </c>
      <c r="W1968" s="1">
        <v>50000</v>
      </c>
      <c r="X1968" s="1">
        <v>0</v>
      </c>
      <c r="Y1968" s="1">
        <v>0</v>
      </c>
      <c r="Z1968" s="1">
        <v>0</v>
      </c>
      <c r="AA1968" s="1">
        <v>0</v>
      </c>
      <c r="AB1968" s="1">
        <v>0</v>
      </c>
      <c r="AC1968" s="1">
        <v>0</v>
      </c>
      <c r="AD1968" s="1">
        <v>0</v>
      </c>
    </row>
    <row r="1969" spans="1:30" s="20" customFormat="1" ht="36" customHeight="1" x14ac:dyDescent="0.25">
      <c r="A1969" s="2">
        <f t="shared" si="987"/>
        <v>1903</v>
      </c>
      <c r="B1969" s="3">
        <f t="shared" si="988"/>
        <v>1903</v>
      </c>
      <c r="C1969" s="19" t="s">
        <v>2025</v>
      </c>
      <c r="D1969" s="4">
        <f t="shared" si="1039"/>
        <v>19039160</v>
      </c>
      <c r="E1969" s="1">
        <f t="shared" si="989"/>
        <v>14487959.999999998</v>
      </c>
      <c r="F1969" s="1">
        <f>804*3691.2</f>
        <v>2967724.8</v>
      </c>
      <c r="G1969" s="1">
        <f>1693*3691.2</f>
        <v>6249201.5999999996</v>
      </c>
      <c r="H1969" s="1">
        <f>390*3691.2</f>
        <v>1439568</v>
      </c>
      <c r="I1969" s="1">
        <f>571*3691.2</f>
        <v>2107675.1999999997</v>
      </c>
      <c r="J1969" s="1">
        <f>467*3691.2</f>
        <v>1723790.4</v>
      </c>
      <c r="K1969" s="1">
        <v>0</v>
      </c>
      <c r="L1969" s="2">
        <v>0</v>
      </c>
      <c r="M1969" s="1">
        <v>0</v>
      </c>
      <c r="N1969" s="1">
        <v>0</v>
      </c>
      <c r="O1969" s="1">
        <f>N1969*7750</f>
        <v>0</v>
      </c>
      <c r="P1969" s="1">
        <v>0</v>
      </c>
      <c r="Q1969" s="1">
        <f t="shared" si="1003"/>
        <v>0</v>
      </c>
      <c r="R1969" s="1">
        <v>1200</v>
      </c>
      <c r="S1969" s="1">
        <f t="shared" si="1004"/>
        <v>4501200</v>
      </c>
      <c r="T1969" s="1">
        <v>0</v>
      </c>
      <c r="U1969" s="1">
        <v>50000</v>
      </c>
      <c r="V1969" s="1">
        <v>0</v>
      </c>
      <c r="W1969" s="1">
        <v>0</v>
      </c>
      <c r="X1969" s="1">
        <v>0</v>
      </c>
      <c r="Y1969" s="1">
        <v>0</v>
      </c>
      <c r="Z1969" s="1">
        <v>0</v>
      </c>
      <c r="AA1969" s="1">
        <v>0</v>
      </c>
      <c r="AB1969" s="1">
        <v>0</v>
      </c>
      <c r="AC1969" s="1">
        <v>0</v>
      </c>
      <c r="AD1969" s="1">
        <v>0</v>
      </c>
    </row>
    <row r="1970" spans="1:30" s="20" customFormat="1" ht="36" customHeight="1" x14ac:dyDescent="0.25">
      <c r="A1970" s="2">
        <f t="shared" si="1038"/>
        <v>1904</v>
      </c>
      <c r="B1970" s="3">
        <f t="shared" si="988"/>
        <v>1904</v>
      </c>
      <c r="C1970" s="19" t="s">
        <v>1202</v>
      </c>
      <c r="D1970" s="4">
        <f t="shared" si="1039"/>
        <v>21468192</v>
      </c>
      <c r="E1970" s="1">
        <f t="shared" si="989"/>
        <v>12794715.000000002</v>
      </c>
      <c r="F1970" s="1">
        <f>804*3259.8</f>
        <v>2620879.2000000002</v>
      </c>
      <c r="G1970" s="1">
        <f>1693*3259.8</f>
        <v>5518841.4000000004</v>
      </c>
      <c r="H1970" s="1">
        <f>390*3259.8</f>
        <v>1271322</v>
      </c>
      <c r="I1970" s="1">
        <f>571*3259.8</f>
        <v>1861345.8</v>
      </c>
      <c r="J1970" s="1">
        <f>467*3259.8</f>
        <v>1522326.6</v>
      </c>
      <c r="K1970" s="1">
        <v>0</v>
      </c>
      <c r="L1970" s="2">
        <v>0</v>
      </c>
      <c r="M1970" s="1">
        <v>0</v>
      </c>
      <c r="N1970" s="1">
        <v>0</v>
      </c>
      <c r="O1970" s="1">
        <v>0</v>
      </c>
      <c r="P1970" s="1">
        <v>50</v>
      </c>
      <c r="Q1970" s="1">
        <f t="shared" si="1003"/>
        <v>70000</v>
      </c>
      <c r="R1970" s="1">
        <v>2227</v>
      </c>
      <c r="S1970" s="1">
        <f t="shared" si="1004"/>
        <v>8353477</v>
      </c>
      <c r="T1970" s="1">
        <v>150000</v>
      </c>
      <c r="U1970" s="1">
        <v>50000</v>
      </c>
      <c r="V1970" s="1">
        <v>0</v>
      </c>
      <c r="W1970" s="1">
        <v>50000</v>
      </c>
      <c r="X1970" s="1">
        <v>0</v>
      </c>
      <c r="Y1970" s="1">
        <v>0</v>
      </c>
      <c r="Z1970" s="1">
        <v>0</v>
      </c>
      <c r="AA1970" s="1">
        <v>0</v>
      </c>
      <c r="AB1970" s="1">
        <v>0</v>
      </c>
      <c r="AC1970" s="1">
        <v>0</v>
      </c>
      <c r="AD1970" s="1">
        <v>0</v>
      </c>
    </row>
    <row r="1971" spans="1:30" s="20" customFormat="1" ht="36" customHeight="1" x14ac:dyDescent="0.25">
      <c r="A1971" s="2">
        <f t="shared" si="1038"/>
        <v>1905</v>
      </c>
      <c r="B1971" s="3">
        <f t="shared" si="988"/>
        <v>1905</v>
      </c>
      <c r="C1971" s="19" t="s">
        <v>1203</v>
      </c>
      <c r="D1971" s="4">
        <f t="shared" si="1039"/>
        <v>23326308</v>
      </c>
      <c r="E1971" s="1">
        <f t="shared" si="989"/>
        <v>15211729.999999998</v>
      </c>
      <c r="F1971" s="1">
        <f>804*3875.6</f>
        <v>3115982.4</v>
      </c>
      <c r="G1971" s="1">
        <f>1693*3875.6</f>
        <v>6561390.7999999998</v>
      </c>
      <c r="H1971" s="1">
        <f>390*3875.6</f>
        <v>1511484</v>
      </c>
      <c r="I1971" s="1">
        <f>571*3875.6</f>
        <v>2212967.6</v>
      </c>
      <c r="J1971" s="1">
        <f>467*3875.6</f>
        <v>1809905.2</v>
      </c>
      <c r="K1971" s="1">
        <v>0</v>
      </c>
      <c r="L1971" s="2">
        <v>0</v>
      </c>
      <c r="M1971" s="1">
        <v>0</v>
      </c>
      <c r="N1971" s="1">
        <v>0</v>
      </c>
      <c r="O1971" s="1">
        <v>0</v>
      </c>
      <c r="P1971" s="1">
        <v>50</v>
      </c>
      <c r="Q1971" s="1">
        <f t="shared" si="1003"/>
        <v>70000</v>
      </c>
      <c r="R1971" s="1">
        <v>2078</v>
      </c>
      <c r="S1971" s="1">
        <f t="shared" si="1004"/>
        <v>7794578</v>
      </c>
      <c r="T1971" s="1">
        <v>150000</v>
      </c>
      <c r="U1971" s="1">
        <v>50000</v>
      </c>
      <c r="V1971" s="1">
        <v>0</v>
      </c>
      <c r="W1971" s="1">
        <v>50000</v>
      </c>
      <c r="X1971" s="1">
        <v>0</v>
      </c>
      <c r="Y1971" s="1">
        <v>0</v>
      </c>
      <c r="Z1971" s="1">
        <v>0</v>
      </c>
      <c r="AA1971" s="1">
        <v>0</v>
      </c>
      <c r="AB1971" s="1">
        <v>0</v>
      </c>
      <c r="AC1971" s="1">
        <v>0</v>
      </c>
      <c r="AD1971" s="1">
        <v>0</v>
      </c>
    </row>
    <row r="1972" spans="1:30" s="20" customFormat="1" ht="36" customHeight="1" x14ac:dyDescent="0.25">
      <c r="A1972" s="2">
        <f t="shared" si="1038"/>
        <v>1906</v>
      </c>
      <c r="B1972" s="3">
        <f t="shared" si="988"/>
        <v>1906</v>
      </c>
      <c r="C1972" s="19" t="s">
        <v>1206</v>
      </c>
      <c r="D1972" s="4">
        <f t="shared" si="1039"/>
        <v>7167626.4000000004</v>
      </c>
      <c r="E1972" s="1">
        <f t="shared" si="989"/>
        <v>1374311.4</v>
      </c>
      <c r="F1972" s="1">
        <f>804*827.4</f>
        <v>665229.6</v>
      </c>
      <c r="G1972" s="1">
        <f>1693*0</f>
        <v>0</v>
      </c>
      <c r="H1972" s="1">
        <f>390*827.4</f>
        <v>322686</v>
      </c>
      <c r="I1972" s="1">
        <v>0</v>
      </c>
      <c r="J1972" s="1">
        <f>467*827.4</f>
        <v>386395.8</v>
      </c>
      <c r="K1972" s="1">
        <v>0</v>
      </c>
      <c r="L1972" s="2">
        <v>0</v>
      </c>
      <c r="M1972" s="1">
        <v>0</v>
      </c>
      <c r="N1972" s="1">
        <v>657</v>
      </c>
      <c r="O1972" s="1">
        <f>N1972*4968</f>
        <v>3263976</v>
      </c>
      <c r="P1972" s="1">
        <v>50</v>
      </c>
      <c r="Q1972" s="1">
        <f t="shared" si="1003"/>
        <v>70000</v>
      </c>
      <c r="R1972" s="1">
        <v>589</v>
      </c>
      <c r="S1972" s="1">
        <f t="shared" si="1004"/>
        <v>2209339</v>
      </c>
      <c r="T1972" s="1">
        <v>150000</v>
      </c>
      <c r="U1972" s="1">
        <v>50000</v>
      </c>
      <c r="V1972" s="1">
        <v>0</v>
      </c>
      <c r="W1972" s="1">
        <v>50000</v>
      </c>
      <c r="X1972" s="1">
        <v>0</v>
      </c>
      <c r="Y1972" s="1">
        <v>0</v>
      </c>
      <c r="Z1972" s="1">
        <v>0</v>
      </c>
      <c r="AA1972" s="1">
        <v>0</v>
      </c>
      <c r="AB1972" s="1">
        <v>0</v>
      </c>
      <c r="AC1972" s="1">
        <v>0</v>
      </c>
      <c r="AD1972" s="1">
        <v>0</v>
      </c>
    </row>
    <row r="1973" spans="1:30" s="20" customFormat="1" ht="36" customHeight="1" x14ac:dyDescent="0.25">
      <c r="A1973" s="2">
        <f t="shared" si="1038"/>
        <v>1907</v>
      </c>
      <c r="B1973" s="3">
        <f t="shared" si="988"/>
        <v>1907</v>
      </c>
      <c r="C1973" s="19" t="s">
        <v>1207</v>
      </c>
      <c r="D1973" s="4">
        <f t="shared" si="1039"/>
        <v>4696752.4000000004</v>
      </c>
      <c r="E1973" s="1">
        <f t="shared" si="989"/>
        <v>2433662.4000000004</v>
      </c>
      <c r="F1973" s="1">
        <f>804*725.6</f>
        <v>583382.4</v>
      </c>
      <c r="G1973" s="1">
        <f>1693*725.6</f>
        <v>1228440.8</v>
      </c>
      <c r="H1973" s="1">
        <f>390*725.6</f>
        <v>282984</v>
      </c>
      <c r="I1973" s="1">
        <v>0</v>
      </c>
      <c r="J1973" s="1">
        <f>467*725.6</f>
        <v>338855.2</v>
      </c>
      <c r="K1973" s="1">
        <v>0</v>
      </c>
      <c r="L1973" s="2">
        <v>0</v>
      </c>
      <c r="M1973" s="1">
        <v>0</v>
      </c>
      <c r="N1973" s="1">
        <v>0</v>
      </c>
      <c r="O1973" s="1">
        <v>0</v>
      </c>
      <c r="P1973" s="1">
        <v>0</v>
      </c>
      <c r="Q1973" s="1">
        <f t="shared" si="1003"/>
        <v>0</v>
      </c>
      <c r="R1973" s="1">
        <v>590</v>
      </c>
      <c r="S1973" s="1">
        <f t="shared" si="1004"/>
        <v>2213090</v>
      </c>
      <c r="T1973" s="1">
        <v>0</v>
      </c>
      <c r="U1973" s="1">
        <v>50000</v>
      </c>
      <c r="V1973" s="1">
        <v>0</v>
      </c>
      <c r="W1973" s="1">
        <v>0</v>
      </c>
      <c r="X1973" s="1">
        <v>0</v>
      </c>
      <c r="Y1973" s="1">
        <v>0</v>
      </c>
      <c r="Z1973" s="1">
        <v>0</v>
      </c>
      <c r="AA1973" s="1">
        <v>0</v>
      </c>
      <c r="AB1973" s="1">
        <v>0</v>
      </c>
      <c r="AC1973" s="1">
        <v>0</v>
      </c>
      <c r="AD1973" s="1">
        <v>0</v>
      </c>
    </row>
    <row r="1974" spans="1:30" s="20" customFormat="1" ht="36" customHeight="1" x14ac:dyDescent="0.25">
      <c r="A1974" s="2">
        <f t="shared" si="1038"/>
        <v>1908</v>
      </c>
      <c r="B1974" s="3">
        <f t="shared" si="988"/>
        <v>1908</v>
      </c>
      <c r="C1974" s="19" t="s">
        <v>1208</v>
      </c>
      <c r="D1974" s="4">
        <f t="shared" si="1039"/>
        <v>7398420</v>
      </c>
      <c r="E1974" s="1">
        <f t="shared" si="989"/>
        <v>321600</v>
      </c>
      <c r="F1974" s="1">
        <f>804*400</f>
        <v>321600</v>
      </c>
      <c r="G1974" s="1">
        <f>1693*0</f>
        <v>0</v>
      </c>
      <c r="H1974" s="1">
        <v>0</v>
      </c>
      <c r="I1974" s="1">
        <v>0</v>
      </c>
      <c r="J1974" s="1">
        <v>0</v>
      </c>
      <c r="K1974" s="1">
        <v>0</v>
      </c>
      <c r="L1974" s="2">
        <v>0</v>
      </c>
      <c r="M1974" s="1">
        <v>0</v>
      </c>
      <c r="N1974" s="1">
        <v>726</v>
      </c>
      <c r="O1974" s="1">
        <f>N1974*7750</f>
        <v>5626500</v>
      </c>
      <c r="P1974" s="1">
        <v>0</v>
      </c>
      <c r="Q1974" s="1">
        <f t="shared" si="1003"/>
        <v>0</v>
      </c>
      <c r="R1974" s="1">
        <v>320</v>
      </c>
      <c r="S1974" s="1">
        <f t="shared" si="1004"/>
        <v>1200320</v>
      </c>
      <c r="T1974" s="1">
        <v>150000</v>
      </c>
      <c r="U1974" s="1">
        <v>50000</v>
      </c>
      <c r="V1974" s="1">
        <v>0</v>
      </c>
      <c r="W1974" s="1">
        <v>50000</v>
      </c>
      <c r="X1974" s="1">
        <v>0</v>
      </c>
      <c r="Y1974" s="1">
        <v>0</v>
      </c>
      <c r="Z1974" s="1">
        <v>0</v>
      </c>
      <c r="AA1974" s="1">
        <v>0</v>
      </c>
      <c r="AB1974" s="1">
        <v>0</v>
      </c>
      <c r="AC1974" s="1">
        <v>0</v>
      </c>
      <c r="AD1974" s="1">
        <v>0</v>
      </c>
    </row>
    <row r="1975" spans="1:30" s="20" customFormat="1" ht="36" customHeight="1" x14ac:dyDescent="0.25">
      <c r="A1975" s="2">
        <f t="shared" si="1038"/>
        <v>1909</v>
      </c>
      <c r="B1975" s="3">
        <f t="shared" si="988"/>
        <v>1909</v>
      </c>
      <c r="C1975" s="19" t="s">
        <v>1674</v>
      </c>
      <c r="D1975" s="4">
        <f t="shared" si="1039"/>
        <v>7179608</v>
      </c>
      <c r="E1975" s="1">
        <f t="shared" si="989"/>
        <v>1901718</v>
      </c>
      <c r="F1975" s="1">
        <f>804*567</f>
        <v>455868</v>
      </c>
      <c r="G1975" s="1">
        <f>1693*567</f>
        <v>959931</v>
      </c>
      <c r="H1975" s="1">
        <f>390*567</f>
        <v>221130</v>
      </c>
      <c r="I1975" s="1">
        <v>0</v>
      </c>
      <c r="J1975" s="1">
        <f>467*567</f>
        <v>264789</v>
      </c>
      <c r="K1975" s="1">
        <v>0</v>
      </c>
      <c r="L1975" s="2">
        <v>0</v>
      </c>
      <c r="M1975" s="1">
        <v>0</v>
      </c>
      <c r="N1975" s="1">
        <v>460</v>
      </c>
      <c r="O1975" s="1">
        <f>N1975*7750</f>
        <v>3565000</v>
      </c>
      <c r="P1975" s="1">
        <v>0</v>
      </c>
      <c r="Q1975" s="1">
        <f t="shared" si="1003"/>
        <v>0</v>
      </c>
      <c r="R1975" s="1">
        <v>390</v>
      </c>
      <c r="S1975" s="1">
        <f t="shared" si="1004"/>
        <v>1462890</v>
      </c>
      <c r="T1975" s="1">
        <v>150000</v>
      </c>
      <c r="U1975" s="1">
        <v>50000</v>
      </c>
      <c r="V1975" s="1">
        <v>0</v>
      </c>
      <c r="W1975" s="1">
        <v>50000</v>
      </c>
      <c r="X1975" s="1">
        <v>0</v>
      </c>
      <c r="Y1975" s="1">
        <v>0</v>
      </c>
      <c r="Z1975" s="1">
        <v>0</v>
      </c>
      <c r="AA1975" s="1">
        <v>0</v>
      </c>
      <c r="AB1975" s="1">
        <v>0</v>
      </c>
      <c r="AC1975" s="1">
        <v>0</v>
      </c>
      <c r="AD1975" s="1">
        <v>0</v>
      </c>
    </row>
    <row r="1976" spans="1:30" s="20" customFormat="1" ht="36" customHeight="1" x14ac:dyDescent="0.25">
      <c r="A1976" s="2">
        <f t="shared" si="1038"/>
        <v>1910</v>
      </c>
      <c r="B1976" s="3">
        <f t="shared" si="988"/>
        <v>1910</v>
      </c>
      <c r="C1976" s="19" t="s">
        <v>2030</v>
      </c>
      <c r="D1976" s="4">
        <f t="shared" si="1039"/>
        <v>5205719.2</v>
      </c>
      <c r="E1976" s="1">
        <f t="shared" si="989"/>
        <v>1482219.2000000002</v>
      </c>
      <c r="F1976" s="1">
        <f>804*593.6</f>
        <v>477254.40000000002</v>
      </c>
      <c r="G1976" s="1">
        <f>1693*593.6</f>
        <v>1004964.8</v>
      </c>
      <c r="H1976" s="1">
        <v>0</v>
      </c>
      <c r="I1976" s="1">
        <v>0</v>
      </c>
      <c r="J1976" s="1">
        <v>0</v>
      </c>
      <c r="K1976" s="1">
        <v>0</v>
      </c>
      <c r="L1976" s="2">
        <v>0</v>
      </c>
      <c r="M1976" s="1">
        <v>0</v>
      </c>
      <c r="N1976" s="1">
        <v>474</v>
      </c>
      <c r="O1976" s="1">
        <f>N1976*7750</f>
        <v>3673500</v>
      </c>
      <c r="P1976" s="1">
        <v>0</v>
      </c>
      <c r="Q1976" s="1">
        <f t="shared" si="1003"/>
        <v>0</v>
      </c>
      <c r="R1976" s="1">
        <v>0</v>
      </c>
      <c r="S1976" s="1">
        <f t="shared" si="1004"/>
        <v>0</v>
      </c>
      <c r="T1976" s="1">
        <v>0</v>
      </c>
      <c r="U1976" s="1">
        <v>50000</v>
      </c>
      <c r="V1976" s="1">
        <v>0</v>
      </c>
      <c r="W1976" s="1">
        <v>0</v>
      </c>
      <c r="X1976" s="1">
        <v>0</v>
      </c>
      <c r="Y1976" s="1">
        <v>0</v>
      </c>
      <c r="Z1976" s="1">
        <v>0</v>
      </c>
      <c r="AA1976" s="1">
        <v>0</v>
      </c>
      <c r="AB1976" s="1">
        <v>0</v>
      </c>
      <c r="AC1976" s="1">
        <v>0</v>
      </c>
      <c r="AD1976" s="1">
        <v>0</v>
      </c>
    </row>
    <row r="1977" spans="1:30" s="20" customFormat="1" ht="36" customHeight="1" x14ac:dyDescent="0.25">
      <c r="A1977" s="2">
        <f t="shared" si="1038"/>
        <v>1911</v>
      </c>
      <c r="B1977" s="3">
        <f t="shared" si="988"/>
        <v>1911</v>
      </c>
      <c r="C1977" s="19" t="s">
        <v>2536</v>
      </c>
      <c r="D1977" s="4">
        <f t="shared" si="1039"/>
        <v>4539798.4000000004</v>
      </c>
      <c r="E1977" s="1">
        <f t="shared" si="989"/>
        <v>461978.4</v>
      </c>
      <c r="F1977" s="1">
        <f>804*574.6</f>
        <v>461978.4</v>
      </c>
      <c r="G1977" s="1">
        <f>1693*0</f>
        <v>0</v>
      </c>
      <c r="H1977" s="1">
        <v>0</v>
      </c>
      <c r="I1977" s="1">
        <v>0</v>
      </c>
      <c r="J1977" s="1">
        <v>0</v>
      </c>
      <c r="K1977" s="1">
        <v>0</v>
      </c>
      <c r="L1977" s="2">
        <v>0</v>
      </c>
      <c r="M1977" s="1">
        <v>0</v>
      </c>
      <c r="N1977" s="1">
        <v>330</v>
      </c>
      <c r="O1977" s="1">
        <f>N1977*7750</f>
        <v>2557500</v>
      </c>
      <c r="P1977" s="1">
        <v>50</v>
      </c>
      <c r="Q1977" s="1">
        <f t="shared" si="1003"/>
        <v>70000</v>
      </c>
      <c r="R1977" s="1">
        <v>320</v>
      </c>
      <c r="S1977" s="1">
        <f t="shared" si="1004"/>
        <v>1200320</v>
      </c>
      <c r="T1977" s="1">
        <v>150000</v>
      </c>
      <c r="U1977" s="1">
        <v>50000</v>
      </c>
      <c r="V1977" s="1">
        <v>0</v>
      </c>
      <c r="W1977" s="1">
        <v>50000</v>
      </c>
      <c r="X1977" s="1">
        <v>0</v>
      </c>
      <c r="Y1977" s="1">
        <v>0</v>
      </c>
      <c r="Z1977" s="1">
        <v>0</v>
      </c>
      <c r="AA1977" s="1">
        <v>0</v>
      </c>
      <c r="AB1977" s="1">
        <v>0</v>
      </c>
      <c r="AC1977" s="1">
        <v>0</v>
      </c>
      <c r="AD1977" s="1">
        <v>0</v>
      </c>
    </row>
    <row r="1978" spans="1:30" s="20" customFormat="1" ht="36" customHeight="1" x14ac:dyDescent="0.25">
      <c r="A1978" s="2">
        <f t="shared" si="1038"/>
        <v>1912</v>
      </c>
      <c r="B1978" s="3">
        <f t="shared" ref="B1978" si="1040">A1978</f>
        <v>1912</v>
      </c>
      <c r="C1978" s="19" t="s">
        <v>1209</v>
      </c>
      <c r="D1978" s="4">
        <f t="shared" si="1039"/>
        <v>4979745.1999999993</v>
      </c>
      <c r="E1978" s="1">
        <f t="shared" ref="E1978" si="1041">SUM(F1978:K1978)</f>
        <v>1890985.1999999997</v>
      </c>
      <c r="F1978" s="1">
        <f>804*563.8</f>
        <v>453295.19999999995</v>
      </c>
      <c r="G1978" s="1">
        <f>1693*563.8</f>
        <v>954513.39999999991</v>
      </c>
      <c r="H1978" s="1">
        <f>390*563.8</f>
        <v>219881.99999999997</v>
      </c>
      <c r="I1978" s="1">
        <v>0</v>
      </c>
      <c r="J1978" s="1">
        <f>467*563.8</f>
        <v>263294.59999999998</v>
      </c>
      <c r="K1978" s="1">
        <v>0</v>
      </c>
      <c r="L1978" s="2">
        <v>0</v>
      </c>
      <c r="M1978" s="1">
        <v>0</v>
      </c>
      <c r="N1978" s="1">
        <v>360</v>
      </c>
      <c r="O1978" s="1">
        <f>N1978*4968</f>
        <v>1788480</v>
      </c>
      <c r="P1978" s="1">
        <v>0</v>
      </c>
      <c r="Q1978" s="1">
        <f t="shared" ref="Q1978" si="1042">P1978*1400</f>
        <v>0</v>
      </c>
      <c r="R1978" s="1">
        <v>280</v>
      </c>
      <c r="S1978" s="1">
        <f t="shared" ref="S1978" si="1043">R1978*3751</f>
        <v>1050280</v>
      </c>
      <c r="T1978" s="1">
        <v>150000</v>
      </c>
      <c r="U1978" s="1">
        <v>50000</v>
      </c>
      <c r="V1978" s="1">
        <v>0</v>
      </c>
      <c r="W1978" s="1">
        <v>50000</v>
      </c>
      <c r="X1978" s="1">
        <v>0</v>
      </c>
      <c r="Y1978" s="1">
        <v>0</v>
      </c>
      <c r="Z1978" s="1">
        <v>0</v>
      </c>
      <c r="AA1978" s="1">
        <v>0</v>
      </c>
      <c r="AB1978" s="1">
        <v>0</v>
      </c>
      <c r="AC1978" s="1">
        <v>0</v>
      </c>
      <c r="AD1978" s="1">
        <v>0</v>
      </c>
    </row>
    <row r="1979" spans="1:30" s="20" customFormat="1" ht="36" customHeight="1" x14ac:dyDescent="0.25">
      <c r="A1979" s="2">
        <f t="shared" si="1038"/>
        <v>1913</v>
      </c>
      <c r="B1979" s="3">
        <f t="shared" si="988"/>
        <v>1913</v>
      </c>
      <c r="C1979" s="19" t="s">
        <v>2026</v>
      </c>
      <c r="D1979" s="4">
        <f t="shared" si="1039"/>
        <v>1071847.2000000002</v>
      </c>
      <c r="E1979" s="1">
        <f t="shared" si="989"/>
        <v>1021847.2000000001</v>
      </c>
      <c r="F1979" s="1">
        <f>804*615.2</f>
        <v>494620.80000000005</v>
      </c>
      <c r="G1979" s="1">
        <v>0</v>
      </c>
      <c r="H1979" s="1">
        <f>390*615.2</f>
        <v>239928.00000000003</v>
      </c>
      <c r="I1979" s="1">
        <v>0</v>
      </c>
      <c r="J1979" s="1">
        <f>467*615.2</f>
        <v>287298.40000000002</v>
      </c>
      <c r="K1979" s="1">
        <v>0</v>
      </c>
      <c r="L1979" s="2">
        <v>0</v>
      </c>
      <c r="M1979" s="1">
        <v>0</v>
      </c>
      <c r="N1979" s="1">
        <v>0</v>
      </c>
      <c r="O1979" s="1">
        <v>0</v>
      </c>
      <c r="P1979" s="1">
        <v>0</v>
      </c>
      <c r="Q1979" s="1">
        <f t="shared" si="1003"/>
        <v>0</v>
      </c>
      <c r="R1979" s="1">
        <v>0</v>
      </c>
      <c r="S1979" s="1">
        <f t="shared" si="1004"/>
        <v>0</v>
      </c>
      <c r="T1979" s="1">
        <v>0</v>
      </c>
      <c r="U1979" s="1">
        <v>50000</v>
      </c>
      <c r="V1979" s="1">
        <v>0</v>
      </c>
      <c r="W1979" s="1">
        <v>0</v>
      </c>
      <c r="X1979" s="1">
        <v>0</v>
      </c>
      <c r="Y1979" s="1">
        <v>0</v>
      </c>
      <c r="Z1979" s="1">
        <v>0</v>
      </c>
      <c r="AA1979" s="1">
        <v>0</v>
      </c>
      <c r="AB1979" s="1">
        <v>0</v>
      </c>
      <c r="AC1979" s="1">
        <v>0</v>
      </c>
      <c r="AD1979" s="1">
        <v>0</v>
      </c>
    </row>
    <row r="1980" spans="1:30" s="20" customFormat="1" ht="36" customHeight="1" x14ac:dyDescent="0.25">
      <c r="A1980" s="2">
        <f t="shared" si="1038"/>
        <v>1914</v>
      </c>
      <c r="B1980" s="3">
        <f t="shared" si="988"/>
        <v>1914</v>
      </c>
      <c r="C1980" s="19" t="s">
        <v>2537</v>
      </c>
      <c r="D1980" s="4">
        <f t="shared" si="1039"/>
        <v>5339320.5600000005</v>
      </c>
      <c r="E1980" s="1">
        <f t="shared" si="989"/>
        <v>341410.56</v>
      </c>
      <c r="F1980" s="1">
        <f>804*424.64</f>
        <v>341410.56</v>
      </c>
      <c r="G1980" s="1">
        <v>0</v>
      </c>
      <c r="H1980" s="1">
        <v>0</v>
      </c>
      <c r="I1980" s="1">
        <v>0</v>
      </c>
      <c r="J1980" s="1">
        <v>0</v>
      </c>
      <c r="K1980" s="1">
        <v>0</v>
      </c>
      <c r="L1980" s="2">
        <v>0</v>
      </c>
      <c r="M1980" s="1">
        <v>0</v>
      </c>
      <c r="N1980" s="1">
        <v>440</v>
      </c>
      <c r="O1980" s="1">
        <f>N1980*7750</f>
        <v>3410000</v>
      </c>
      <c r="P1980" s="1">
        <v>0</v>
      </c>
      <c r="Q1980" s="1">
        <f t="shared" si="1003"/>
        <v>0</v>
      </c>
      <c r="R1980" s="1">
        <v>410</v>
      </c>
      <c r="S1980" s="1">
        <f t="shared" si="1004"/>
        <v>1537910</v>
      </c>
      <c r="T1980" s="1">
        <v>0</v>
      </c>
      <c r="U1980" s="1">
        <v>50000</v>
      </c>
      <c r="V1980" s="1">
        <v>0</v>
      </c>
      <c r="W1980" s="1">
        <v>0</v>
      </c>
      <c r="X1980" s="1">
        <v>0</v>
      </c>
      <c r="Y1980" s="1">
        <v>0</v>
      </c>
      <c r="Z1980" s="1">
        <v>0</v>
      </c>
      <c r="AA1980" s="1">
        <v>0</v>
      </c>
      <c r="AB1980" s="1">
        <v>0</v>
      </c>
      <c r="AC1980" s="1">
        <v>0</v>
      </c>
      <c r="AD1980" s="1">
        <v>0</v>
      </c>
    </row>
    <row r="1981" spans="1:30" s="20" customFormat="1" ht="36" customHeight="1" x14ac:dyDescent="0.25">
      <c r="A1981" s="2">
        <f t="shared" si="1038"/>
        <v>1915</v>
      </c>
      <c r="B1981" s="3">
        <f t="shared" ref="B1981" si="1044">A1981</f>
        <v>1915</v>
      </c>
      <c r="C1981" s="19" t="s">
        <v>2538</v>
      </c>
      <c r="D1981" s="4">
        <f t="shared" si="1039"/>
        <v>5337664.32</v>
      </c>
      <c r="E1981" s="1">
        <f t="shared" ref="E1981" si="1045">SUM(F1981:K1981)</f>
        <v>339754.32</v>
      </c>
      <c r="F1981" s="1">
        <f>804*422.58</f>
        <v>339754.32</v>
      </c>
      <c r="G1981" s="1">
        <v>0</v>
      </c>
      <c r="H1981" s="1">
        <v>0</v>
      </c>
      <c r="I1981" s="1">
        <v>0</v>
      </c>
      <c r="J1981" s="1">
        <v>0</v>
      </c>
      <c r="K1981" s="1">
        <v>0</v>
      </c>
      <c r="L1981" s="2">
        <v>0</v>
      </c>
      <c r="M1981" s="1">
        <v>0</v>
      </c>
      <c r="N1981" s="1">
        <v>440</v>
      </c>
      <c r="O1981" s="1">
        <f>N1981*7750</f>
        <v>3410000</v>
      </c>
      <c r="P1981" s="1">
        <v>0</v>
      </c>
      <c r="Q1981" s="1">
        <f t="shared" ref="Q1981" si="1046">P1981*1400</f>
        <v>0</v>
      </c>
      <c r="R1981" s="1">
        <v>410</v>
      </c>
      <c r="S1981" s="1">
        <f t="shared" ref="S1981" si="1047">R1981*3751</f>
        <v>1537910</v>
      </c>
      <c r="T1981" s="1">
        <v>0</v>
      </c>
      <c r="U1981" s="1">
        <v>50000</v>
      </c>
      <c r="V1981" s="1">
        <v>0</v>
      </c>
      <c r="W1981" s="1">
        <v>0</v>
      </c>
      <c r="X1981" s="1">
        <v>0</v>
      </c>
      <c r="Y1981" s="1">
        <v>0</v>
      </c>
      <c r="Z1981" s="1">
        <v>0</v>
      </c>
      <c r="AA1981" s="1">
        <v>0</v>
      </c>
      <c r="AB1981" s="1">
        <v>0</v>
      </c>
      <c r="AC1981" s="1">
        <v>0</v>
      </c>
      <c r="AD1981" s="1">
        <v>0</v>
      </c>
    </row>
    <row r="1982" spans="1:30" s="20" customFormat="1" ht="36" customHeight="1" x14ac:dyDescent="0.25">
      <c r="A1982" s="2">
        <f t="shared" si="1038"/>
        <v>1916</v>
      </c>
      <c r="B1982" s="3">
        <f t="shared" si="988"/>
        <v>1916</v>
      </c>
      <c r="C1982" s="19" t="s">
        <v>1210</v>
      </c>
      <c r="D1982" s="4">
        <f t="shared" si="1039"/>
        <v>9367302</v>
      </c>
      <c r="E1982" s="1">
        <f t="shared" si="989"/>
        <v>1431782</v>
      </c>
      <c r="F1982" s="1">
        <f>804*862</f>
        <v>693048</v>
      </c>
      <c r="G1982" s="1">
        <f>1693*0</f>
        <v>0</v>
      </c>
      <c r="H1982" s="1">
        <f>390*862</f>
        <v>336180</v>
      </c>
      <c r="I1982" s="1">
        <v>0</v>
      </c>
      <c r="J1982" s="1">
        <f>467*862</f>
        <v>402554</v>
      </c>
      <c r="K1982" s="1">
        <v>0</v>
      </c>
      <c r="L1982" s="2">
        <v>0</v>
      </c>
      <c r="M1982" s="1">
        <v>0</v>
      </c>
      <c r="N1982" s="1">
        <v>740</v>
      </c>
      <c r="O1982" s="1">
        <f>N1982*7750</f>
        <v>5735000</v>
      </c>
      <c r="P1982" s="1">
        <v>0</v>
      </c>
      <c r="Q1982" s="1">
        <f t="shared" si="1003"/>
        <v>0</v>
      </c>
      <c r="R1982" s="1">
        <v>520</v>
      </c>
      <c r="S1982" s="1">
        <f t="shared" si="1004"/>
        <v>1950520</v>
      </c>
      <c r="T1982" s="1">
        <v>150000</v>
      </c>
      <c r="U1982" s="1">
        <v>50000</v>
      </c>
      <c r="V1982" s="1">
        <v>0</v>
      </c>
      <c r="W1982" s="1">
        <v>50000</v>
      </c>
      <c r="X1982" s="1">
        <v>0</v>
      </c>
      <c r="Y1982" s="1">
        <v>0</v>
      </c>
      <c r="Z1982" s="1">
        <v>0</v>
      </c>
      <c r="AA1982" s="1">
        <v>0</v>
      </c>
      <c r="AB1982" s="1">
        <v>0</v>
      </c>
      <c r="AC1982" s="1">
        <v>0</v>
      </c>
      <c r="AD1982" s="1">
        <v>0</v>
      </c>
    </row>
    <row r="1983" spans="1:30" s="20" customFormat="1" ht="36" customHeight="1" x14ac:dyDescent="0.25">
      <c r="A1983" s="2">
        <f t="shared" si="1038"/>
        <v>1917</v>
      </c>
      <c r="B1983" s="3">
        <f t="shared" si="988"/>
        <v>1917</v>
      </c>
      <c r="C1983" s="19" t="s">
        <v>1211</v>
      </c>
      <c r="D1983" s="4">
        <f t="shared" si="1039"/>
        <v>9050486.0800000001</v>
      </c>
      <c r="E1983" s="1">
        <f t="shared" si="989"/>
        <v>2711776.0799999996</v>
      </c>
      <c r="F1983" s="1">
        <f>804*808.52</f>
        <v>650050.07999999996</v>
      </c>
      <c r="G1983" s="1">
        <f>1693*808.52</f>
        <v>1368824.3599999999</v>
      </c>
      <c r="H1983" s="1">
        <f>390*808.52</f>
        <v>315322.8</v>
      </c>
      <c r="I1983" s="1">
        <v>0</v>
      </c>
      <c r="J1983" s="1">
        <f>467*808.52</f>
        <v>377578.83999999997</v>
      </c>
      <c r="K1983" s="1">
        <v>0</v>
      </c>
      <c r="L1983" s="2">
        <v>0</v>
      </c>
      <c r="M1983" s="1">
        <v>0</v>
      </c>
      <c r="N1983" s="1">
        <v>563</v>
      </c>
      <c r="O1983" s="1">
        <f>N1983*7750</f>
        <v>4363250</v>
      </c>
      <c r="P1983" s="1">
        <v>0</v>
      </c>
      <c r="Q1983" s="1">
        <f t="shared" si="1003"/>
        <v>0</v>
      </c>
      <c r="R1983" s="1">
        <v>460</v>
      </c>
      <c r="S1983" s="1">
        <f t="shared" si="1004"/>
        <v>1725460</v>
      </c>
      <c r="T1983" s="1">
        <v>150000</v>
      </c>
      <c r="U1983" s="1">
        <v>50000</v>
      </c>
      <c r="V1983" s="1">
        <v>0</v>
      </c>
      <c r="W1983" s="1">
        <v>50000</v>
      </c>
      <c r="X1983" s="1">
        <v>0</v>
      </c>
      <c r="Y1983" s="1">
        <v>0</v>
      </c>
      <c r="Z1983" s="1">
        <v>0</v>
      </c>
      <c r="AA1983" s="1">
        <v>0</v>
      </c>
      <c r="AB1983" s="1">
        <v>0</v>
      </c>
      <c r="AC1983" s="1">
        <v>0</v>
      </c>
      <c r="AD1983" s="1">
        <v>0</v>
      </c>
    </row>
    <row r="1984" spans="1:30" s="20" customFormat="1" ht="36" customHeight="1" x14ac:dyDescent="0.25">
      <c r="A1984" s="2">
        <f t="shared" si="1038"/>
        <v>1918</v>
      </c>
      <c r="B1984" s="3">
        <f t="shared" si="988"/>
        <v>1918</v>
      </c>
      <c r="C1984" s="19" t="s">
        <v>1212</v>
      </c>
      <c r="D1984" s="4">
        <f t="shared" si="1039"/>
        <v>9061987.0800000001</v>
      </c>
      <c r="E1984" s="1">
        <f t="shared" si="989"/>
        <v>2711776.0799999996</v>
      </c>
      <c r="F1984" s="1">
        <f>804*808.52</f>
        <v>650050.07999999996</v>
      </c>
      <c r="G1984" s="1">
        <f>1693*808.52</f>
        <v>1368824.3599999999</v>
      </c>
      <c r="H1984" s="1">
        <f>390*808.52</f>
        <v>315322.8</v>
      </c>
      <c r="I1984" s="1">
        <v>0</v>
      </c>
      <c r="J1984" s="1">
        <f>467*808.52</f>
        <v>377578.83999999997</v>
      </c>
      <c r="K1984" s="1">
        <v>0</v>
      </c>
      <c r="L1984" s="2">
        <v>0</v>
      </c>
      <c r="M1984" s="1">
        <v>0</v>
      </c>
      <c r="N1984" s="1">
        <v>564</v>
      </c>
      <c r="O1984" s="1">
        <f t="shared" ref="O1984:O1992" si="1048">N1984*7750</f>
        <v>4371000</v>
      </c>
      <c r="P1984" s="1">
        <v>0</v>
      </c>
      <c r="Q1984" s="1">
        <f>P1984*1400</f>
        <v>0</v>
      </c>
      <c r="R1984" s="1">
        <v>461</v>
      </c>
      <c r="S1984" s="1">
        <f>R1984*3751</f>
        <v>1729211</v>
      </c>
      <c r="T1984" s="1">
        <v>150000</v>
      </c>
      <c r="U1984" s="1">
        <v>50000</v>
      </c>
      <c r="V1984" s="1">
        <v>0</v>
      </c>
      <c r="W1984" s="1">
        <v>50000</v>
      </c>
      <c r="X1984" s="1">
        <v>0</v>
      </c>
      <c r="Y1984" s="1">
        <v>0</v>
      </c>
      <c r="Z1984" s="1">
        <v>0</v>
      </c>
      <c r="AA1984" s="1">
        <v>0</v>
      </c>
      <c r="AB1984" s="1">
        <v>0</v>
      </c>
      <c r="AC1984" s="1">
        <v>0</v>
      </c>
      <c r="AD1984" s="1">
        <v>0</v>
      </c>
    </row>
    <row r="1985" spans="1:30" s="20" customFormat="1" ht="36" customHeight="1" x14ac:dyDescent="0.25">
      <c r="A1985" s="2">
        <f t="shared" si="1038"/>
        <v>1919</v>
      </c>
      <c r="B1985" s="3">
        <f t="shared" si="988"/>
        <v>1919</v>
      </c>
      <c r="C1985" s="19" t="s">
        <v>1213</v>
      </c>
      <c r="D1985" s="4">
        <f t="shared" si="1039"/>
        <v>9073488.0800000001</v>
      </c>
      <c r="E1985" s="1">
        <f t="shared" si="989"/>
        <v>2711776.0799999996</v>
      </c>
      <c r="F1985" s="1">
        <f>804*808.52</f>
        <v>650050.07999999996</v>
      </c>
      <c r="G1985" s="1">
        <f>1693*808.52</f>
        <v>1368824.3599999999</v>
      </c>
      <c r="H1985" s="1">
        <f>390*808.52</f>
        <v>315322.8</v>
      </c>
      <c r="I1985" s="1">
        <v>0</v>
      </c>
      <c r="J1985" s="1">
        <f>467*808.52</f>
        <v>377578.83999999997</v>
      </c>
      <c r="K1985" s="1">
        <v>0</v>
      </c>
      <c r="L1985" s="2">
        <v>0</v>
      </c>
      <c r="M1985" s="1">
        <v>0</v>
      </c>
      <c r="N1985" s="1">
        <v>565</v>
      </c>
      <c r="O1985" s="1">
        <f t="shared" si="1048"/>
        <v>4378750</v>
      </c>
      <c r="P1985" s="1">
        <v>0</v>
      </c>
      <c r="Q1985" s="1">
        <f>P1985*1400</f>
        <v>0</v>
      </c>
      <c r="R1985" s="1">
        <v>462</v>
      </c>
      <c r="S1985" s="1">
        <f>R1985*3751</f>
        <v>1732962</v>
      </c>
      <c r="T1985" s="1">
        <v>150000</v>
      </c>
      <c r="U1985" s="1">
        <v>50000</v>
      </c>
      <c r="V1985" s="1">
        <v>0</v>
      </c>
      <c r="W1985" s="1">
        <v>50000</v>
      </c>
      <c r="X1985" s="1">
        <v>0</v>
      </c>
      <c r="Y1985" s="1">
        <v>0</v>
      </c>
      <c r="Z1985" s="1">
        <v>0</v>
      </c>
      <c r="AA1985" s="1">
        <v>0</v>
      </c>
      <c r="AB1985" s="1">
        <v>0</v>
      </c>
      <c r="AC1985" s="1">
        <v>0</v>
      </c>
      <c r="AD1985" s="1">
        <v>0</v>
      </c>
    </row>
    <row r="1986" spans="1:30" s="20" customFormat="1" ht="36" customHeight="1" x14ac:dyDescent="0.25">
      <c r="A1986" s="2">
        <f t="shared" si="1038"/>
        <v>1920</v>
      </c>
      <c r="B1986" s="3">
        <f t="shared" si="988"/>
        <v>1920</v>
      </c>
      <c r="C1986" s="19" t="s">
        <v>1214</v>
      </c>
      <c r="D1986" s="4">
        <f t="shared" si="1039"/>
        <v>9108325.5999999996</v>
      </c>
      <c r="E1986" s="1">
        <f t="shared" si="989"/>
        <v>2550381.5999999996</v>
      </c>
      <c r="F1986" s="1">
        <f>804*760.4</f>
        <v>611361.6</v>
      </c>
      <c r="G1986" s="1">
        <f>1693*760.4</f>
        <v>1287357.2</v>
      </c>
      <c r="H1986" s="1">
        <f>390*760.4</f>
        <v>296556</v>
      </c>
      <c r="I1986" s="1">
        <v>0</v>
      </c>
      <c r="J1986" s="1">
        <f>467*760.4</f>
        <v>355106.8</v>
      </c>
      <c r="K1986" s="1">
        <v>0</v>
      </c>
      <c r="L1986" s="2">
        <v>0</v>
      </c>
      <c r="M1986" s="1">
        <v>0</v>
      </c>
      <c r="N1986" s="1">
        <v>590</v>
      </c>
      <c r="O1986" s="1">
        <f t="shared" si="1048"/>
        <v>4572500</v>
      </c>
      <c r="P1986" s="1">
        <v>50</v>
      </c>
      <c r="Q1986" s="1">
        <f t="shared" si="1003"/>
        <v>70000</v>
      </c>
      <c r="R1986" s="1">
        <v>444</v>
      </c>
      <c r="S1986" s="1">
        <f t="shared" si="1004"/>
        <v>1665444</v>
      </c>
      <c r="T1986" s="1">
        <v>150000</v>
      </c>
      <c r="U1986" s="1">
        <v>50000</v>
      </c>
      <c r="V1986" s="1">
        <v>0</v>
      </c>
      <c r="W1986" s="1">
        <v>50000</v>
      </c>
      <c r="X1986" s="1">
        <v>0</v>
      </c>
      <c r="Y1986" s="1">
        <v>0</v>
      </c>
      <c r="Z1986" s="1">
        <v>0</v>
      </c>
      <c r="AA1986" s="1">
        <v>0</v>
      </c>
      <c r="AB1986" s="1">
        <v>0</v>
      </c>
      <c r="AC1986" s="1">
        <v>0</v>
      </c>
      <c r="AD1986" s="1">
        <v>0</v>
      </c>
    </row>
    <row r="1987" spans="1:30" s="20" customFormat="1" ht="36" customHeight="1" x14ac:dyDescent="0.25">
      <c r="A1987" s="2">
        <f t="shared" si="1038"/>
        <v>1921</v>
      </c>
      <c r="B1987" s="3">
        <f t="shared" ref="B1987" si="1049">A1987</f>
        <v>1921</v>
      </c>
      <c r="C1987" s="19" t="s">
        <v>2027</v>
      </c>
      <c r="D1987" s="4">
        <f t="shared" si="1039"/>
        <v>7508960.6000000006</v>
      </c>
      <c r="E1987" s="1">
        <f t="shared" ref="E1987" si="1050">SUM(F1987:K1987)</f>
        <v>7458960.6000000006</v>
      </c>
      <c r="F1987" s="1">
        <f>804*2223.9</f>
        <v>1788015.6</v>
      </c>
      <c r="G1987" s="1">
        <f>1693*2223.9</f>
        <v>3765062.7</v>
      </c>
      <c r="H1987" s="1">
        <f>390*2223.9</f>
        <v>867321</v>
      </c>
      <c r="I1987" s="1">
        <v>0</v>
      </c>
      <c r="J1987" s="1">
        <f>467*2223.9</f>
        <v>1038561.3</v>
      </c>
      <c r="K1987" s="1">
        <v>0</v>
      </c>
      <c r="L1987" s="2">
        <v>0</v>
      </c>
      <c r="M1987" s="1">
        <v>0</v>
      </c>
      <c r="N1987" s="1">
        <v>0</v>
      </c>
      <c r="O1987" s="1">
        <f t="shared" ref="O1987" si="1051">N1987*7750</f>
        <v>0</v>
      </c>
      <c r="P1987" s="1">
        <v>0</v>
      </c>
      <c r="Q1987" s="1">
        <f t="shared" ref="Q1987" si="1052">P1987*1400</f>
        <v>0</v>
      </c>
      <c r="R1987" s="1">
        <v>0</v>
      </c>
      <c r="S1987" s="1">
        <f t="shared" ref="S1987" si="1053">R1987*3751</f>
        <v>0</v>
      </c>
      <c r="T1987" s="1">
        <v>0</v>
      </c>
      <c r="U1987" s="1">
        <v>50000</v>
      </c>
      <c r="V1987" s="1">
        <v>0</v>
      </c>
      <c r="W1987" s="1">
        <v>0</v>
      </c>
      <c r="X1987" s="1">
        <v>0</v>
      </c>
      <c r="Y1987" s="1">
        <v>0</v>
      </c>
      <c r="Z1987" s="1">
        <v>0</v>
      </c>
      <c r="AA1987" s="1">
        <v>0</v>
      </c>
      <c r="AB1987" s="1">
        <v>0</v>
      </c>
      <c r="AC1987" s="1">
        <v>0</v>
      </c>
      <c r="AD1987" s="1">
        <v>0</v>
      </c>
    </row>
    <row r="1988" spans="1:30" s="20" customFormat="1" ht="36" customHeight="1" x14ac:dyDescent="0.25">
      <c r="A1988" s="2">
        <f t="shared" si="1038"/>
        <v>1922</v>
      </c>
      <c r="B1988" s="3">
        <f t="shared" si="988"/>
        <v>1922</v>
      </c>
      <c r="C1988" s="19" t="s">
        <v>1215</v>
      </c>
      <c r="D1988" s="4">
        <f t="shared" si="1039"/>
        <v>3141600</v>
      </c>
      <c r="E1988" s="1">
        <f t="shared" si="989"/>
        <v>281400</v>
      </c>
      <c r="F1988" s="1">
        <f>804*350</f>
        <v>281400</v>
      </c>
      <c r="G1988" s="1">
        <f>1693*0</f>
        <v>0</v>
      </c>
      <c r="H1988" s="1">
        <v>0</v>
      </c>
      <c r="I1988" s="1">
        <v>0</v>
      </c>
      <c r="J1988" s="1">
        <v>0</v>
      </c>
      <c r="K1988" s="1">
        <v>0</v>
      </c>
      <c r="L1988" s="2">
        <v>0</v>
      </c>
      <c r="M1988" s="1">
        <v>0</v>
      </c>
      <c r="N1988" s="1">
        <v>240</v>
      </c>
      <c r="O1988" s="1">
        <f t="shared" si="1048"/>
        <v>1860000</v>
      </c>
      <c r="P1988" s="1">
        <v>0</v>
      </c>
      <c r="Q1988" s="1">
        <f t="shared" si="1003"/>
        <v>0</v>
      </c>
      <c r="R1988" s="1">
        <v>200</v>
      </c>
      <c r="S1988" s="1">
        <f t="shared" si="1004"/>
        <v>750200</v>
      </c>
      <c r="T1988" s="1">
        <v>150000</v>
      </c>
      <c r="U1988" s="1">
        <v>50000</v>
      </c>
      <c r="V1988" s="1">
        <v>0</v>
      </c>
      <c r="W1988" s="1">
        <v>50000</v>
      </c>
      <c r="X1988" s="1">
        <v>0</v>
      </c>
      <c r="Y1988" s="1">
        <v>0</v>
      </c>
      <c r="Z1988" s="1">
        <v>0</v>
      </c>
      <c r="AA1988" s="1">
        <v>0</v>
      </c>
      <c r="AB1988" s="1">
        <v>0</v>
      </c>
      <c r="AC1988" s="1">
        <v>0</v>
      </c>
      <c r="AD1988" s="1">
        <v>0</v>
      </c>
    </row>
    <row r="1989" spans="1:30" s="20" customFormat="1" ht="36" customHeight="1" x14ac:dyDescent="0.25">
      <c r="A1989" s="2">
        <f t="shared" si="1038"/>
        <v>1923</v>
      </c>
      <c r="B1989" s="3">
        <f t="shared" si="988"/>
        <v>1923</v>
      </c>
      <c r="C1989" s="19" t="s">
        <v>1217</v>
      </c>
      <c r="D1989" s="4">
        <f t="shared" si="1039"/>
        <v>3358260</v>
      </c>
      <c r="E1989" s="1">
        <f t="shared" si="989"/>
        <v>418080</v>
      </c>
      <c r="F1989" s="1">
        <f>804*520</f>
        <v>418080</v>
      </c>
      <c r="G1989" s="1">
        <v>0</v>
      </c>
      <c r="H1989" s="1">
        <v>0</v>
      </c>
      <c r="I1989" s="1">
        <v>0</v>
      </c>
      <c r="J1989" s="1">
        <v>0</v>
      </c>
      <c r="K1989" s="1">
        <v>0</v>
      </c>
      <c r="L1989" s="2">
        <v>0</v>
      </c>
      <c r="M1989" s="1">
        <v>0</v>
      </c>
      <c r="N1989" s="1">
        <v>260</v>
      </c>
      <c r="O1989" s="1">
        <f t="shared" si="1048"/>
        <v>2015000</v>
      </c>
      <c r="P1989" s="1">
        <v>0</v>
      </c>
      <c r="Q1989" s="1">
        <f t="shared" si="1003"/>
        <v>0</v>
      </c>
      <c r="R1989" s="1">
        <v>180</v>
      </c>
      <c r="S1989" s="1">
        <f t="shared" si="1004"/>
        <v>675180</v>
      </c>
      <c r="T1989" s="1">
        <v>150000</v>
      </c>
      <c r="U1989" s="1">
        <v>50000</v>
      </c>
      <c r="V1989" s="1">
        <v>0</v>
      </c>
      <c r="W1989" s="1">
        <v>50000</v>
      </c>
      <c r="X1989" s="1">
        <v>0</v>
      </c>
      <c r="Y1989" s="1">
        <v>0</v>
      </c>
      <c r="Z1989" s="1">
        <v>0</v>
      </c>
      <c r="AA1989" s="1">
        <v>0</v>
      </c>
      <c r="AB1989" s="1">
        <v>0</v>
      </c>
      <c r="AC1989" s="1">
        <v>0</v>
      </c>
      <c r="AD1989" s="1">
        <v>0</v>
      </c>
    </row>
    <row r="1990" spans="1:30" s="20" customFormat="1" ht="36" customHeight="1" x14ac:dyDescent="0.25">
      <c r="A1990" s="2">
        <f t="shared" si="1038"/>
        <v>1924</v>
      </c>
      <c r="B1990" s="3">
        <f t="shared" si="988"/>
        <v>1924</v>
      </c>
      <c r="C1990" s="19" t="s">
        <v>1218</v>
      </c>
      <c r="D1990" s="4">
        <f t="shared" si="1039"/>
        <v>3548004</v>
      </c>
      <c r="E1990" s="1">
        <f t="shared" si="989"/>
        <v>607824</v>
      </c>
      <c r="F1990" s="1">
        <f>804*756</f>
        <v>607824</v>
      </c>
      <c r="G1990" s="1">
        <v>0</v>
      </c>
      <c r="H1990" s="1">
        <v>0</v>
      </c>
      <c r="I1990" s="1">
        <v>0</v>
      </c>
      <c r="J1990" s="1">
        <v>0</v>
      </c>
      <c r="K1990" s="1">
        <v>0</v>
      </c>
      <c r="L1990" s="2">
        <v>0</v>
      </c>
      <c r="M1990" s="1">
        <v>0</v>
      </c>
      <c r="N1990" s="1">
        <v>260</v>
      </c>
      <c r="O1990" s="1">
        <f t="shared" si="1048"/>
        <v>2015000</v>
      </c>
      <c r="P1990" s="1">
        <v>0</v>
      </c>
      <c r="Q1990" s="1">
        <f t="shared" si="1003"/>
        <v>0</v>
      </c>
      <c r="R1990" s="1">
        <v>180</v>
      </c>
      <c r="S1990" s="1">
        <f t="shared" si="1004"/>
        <v>675180</v>
      </c>
      <c r="T1990" s="1">
        <v>150000</v>
      </c>
      <c r="U1990" s="1">
        <v>50000</v>
      </c>
      <c r="V1990" s="1">
        <v>0</v>
      </c>
      <c r="W1990" s="1">
        <v>50000</v>
      </c>
      <c r="X1990" s="1">
        <v>0</v>
      </c>
      <c r="Y1990" s="1">
        <v>0</v>
      </c>
      <c r="Z1990" s="1">
        <v>0</v>
      </c>
      <c r="AA1990" s="1">
        <v>0</v>
      </c>
      <c r="AB1990" s="1">
        <v>0</v>
      </c>
      <c r="AC1990" s="1">
        <v>0</v>
      </c>
      <c r="AD1990" s="1">
        <v>0</v>
      </c>
    </row>
    <row r="1991" spans="1:30" s="20" customFormat="1" ht="36" customHeight="1" x14ac:dyDescent="0.25">
      <c r="A1991" s="2">
        <f t="shared" si="1038"/>
        <v>1925</v>
      </c>
      <c r="B1991" s="3">
        <f>A1991</f>
        <v>1925</v>
      </c>
      <c r="C1991" s="19" t="s">
        <v>1216</v>
      </c>
      <c r="D1991" s="4">
        <f t="shared" si="1039"/>
        <v>3432228</v>
      </c>
      <c r="E1991" s="1">
        <f>SUM(F1991:K1991)</f>
        <v>492048</v>
      </c>
      <c r="F1991" s="1">
        <f>804*612</f>
        <v>492048</v>
      </c>
      <c r="G1991" s="1">
        <v>0</v>
      </c>
      <c r="H1991" s="1">
        <v>0</v>
      </c>
      <c r="I1991" s="1">
        <v>0</v>
      </c>
      <c r="J1991" s="1">
        <v>0</v>
      </c>
      <c r="K1991" s="1">
        <v>0</v>
      </c>
      <c r="L1991" s="2">
        <v>0</v>
      </c>
      <c r="M1991" s="1">
        <v>0</v>
      </c>
      <c r="N1991" s="1">
        <v>260</v>
      </c>
      <c r="O1991" s="1">
        <f>N1991*7750</f>
        <v>2015000</v>
      </c>
      <c r="P1991" s="1">
        <v>0</v>
      </c>
      <c r="Q1991" s="1">
        <f>P1991*1400</f>
        <v>0</v>
      </c>
      <c r="R1991" s="1">
        <v>180</v>
      </c>
      <c r="S1991" s="1">
        <f>R1991*3751</f>
        <v>675180</v>
      </c>
      <c r="T1991" s="1">
        <v>150000</v>
      </c>
      <c r="U1991" s="1">
        <v>50000</v>
      </c>
      <c r="V1991" s="1">
        <v>0</v>
      </c>
      <c r="W1991" s="1">
        <v>50000</v>
      </c>
      <c r="X1991" s="1">
        <v>0</v>
      </c>
      <c r="Y1991" s="1">
        <v>0</v>
      </c>
      <c r="Z1991" s="1">
        <v>0</v>
      </c>
      <c r="AA1991" s="1">
        <v>0</v>
      </c>
      <c r="AB1991" s="1">
        <v>0</v>
      </c>
      <c r="AC1991" s="1">
        <v>0</v>
      </c>
      <c r="AD1991" s="1">
        <v>0</v>
      </c>
    </row>
    <row r="1992" spans="1:30" s="20" customFormat="1" ht="36" customHeight="1" x14ac:dyDescent="0.25">
      <c r="A1992" s="2">
        <f t="shared" si="1038"/>
        <v>1926</v>
      </c>
      <c r="B1992" s="3">
        <f t="shared" si="988"/>
        <v>1926</v>
      </c>
      <c r="C1992" s="19" t="s">
        <v>2028</v>
      </c>
      <c r="D1992" s="4">
        <f t="shared" si="1039"/>
        <v>4239343</v>
      </c>
      <c r="E1992" s="1">
        <f t="shared" ref="E1992" si="1054">SUM(F1992:K1992)</f>
        <v>335268</v>
      </c>
      <c r="F1992" s="1">
        <f>804*417</f>
        <v>335268</v>
      </c>
      <c r="G1992" s="1">
        <v>0</v>
      </c>
      <c r="H1992" s="1">
        <v>0</v>
      </c>
      <c r="I1992" s="1">
        <v>0</v>
      </c>
      <c r="J1992" s="1">
        <v>0</v>
      </c>
      <c r="K1992" s="1">
        <v>0</v>
      </c>
      <c r="L1992" s="2">
        <v>0</v>
      </c>
      <c r="M1992" s="1">
        <v>0</v>
      </c>
      <c r="N1992" s="1">
        <v>340</v>
      </c>
      <c r="O1992" s="1">
        <f t="shared" si="1048"/>
        <v>2635000</v>
      </c>
      <c r="P1992" s="1">
        <v>0</v>
      </c>
      <c r="Q1992" s="1">
        <f t="shared" si="1003"/>
        <v>0</v>
      </c>
      <c r="R1992" s="1">
        <v>325</v>
      </c>
      <c r="S1992" s="1">
        <f t="shared" si="1004"/>
        <v>1219075</v>
      </c>
      <c r="T1992" s="1">
        <v>0</v>
      </c>
      <c r="U1992" s="1">
        <v>50000</v>
      </c>
      <c r="V1992" s="1">
        <v>0</v>
      </c>
      <c r="W1992" s="1">
        <v>0</v>
      </c>
      <c r="X1992" s="1">
        <v>0</v>
      </c>
      <c r="Y1992" s="1">
        <v>0</v>
      </c>
      <c r="Z1992" s="1">
        <v>0</v>
      </c>
      <c r="AA1992" s="1">
        <v>0</v>
      </c>
      <c r="AB1992" s="1">
        <v>0</v>
      </c>
      <c r="AC1992" s="1">
        <v>0</v>
      </c>
      <c r="AD1992" s="1">
        <v>0</v>
      </c>
    </row>
    <row r="1993" spans="1:30" s="20" customFormat="1" ht="36" customHeight="1" x14ac:dyDescent="0.25">
      <c r="A1993" s="2">
        <f t="shared" si="1038"/>
        <v>1927</v>
      </c>
      <c r="B1993" s="3">
        <f t="shared" ref="B1993" si="1055">A1993</f>
        <v>1927</v>
      </c>
      <c r="C1993" s="19" t="s">
        <v>2029</v>
      </c>
      <c r="D1993" s="4">
        <f t="shared" si="1039"/>
        <v>4226639.8</v>
      </c>
      <c r="E1993" s="1">
        <f t="shared" ref="E1993" si="1056">SUM(F1993:K1993)</f>
        <v>322564.8</v>
      </c>
      <c r="F1993" s="1">
        <f>804*401.2</f>
        <v>322564.8</v>
      </c>
      <c r="G1993" s="1">
        <v>0</v>
      </c>
      <c r="H1993" s="1">
        <v>0</v>
      </c>
      <c r="I1993" s="1">
        <v>0</v>
      </c>
      <c r="J1993" s="1">
        <v>0</v>
      </c>
      <c r="K1993" s="1">
        <v>0</v>
      </c>
      <c r="L1993" s="2">
        <v>0</v>
      </c>
      <c r="M1993" s="1">
        <v>0</v>
      </c>
      <c r="N1993" s="1">
        <v>340</v>
      </c>
      <c r="O1993" s="1">
        <f t="shared" ref="O1993" si="1057">N1993*7750</f>
        <v>2635000</v>
      </c>
      <c r="P1993" s="1">
        <v>0</v>
      </c>
      <c r="Q1993" s="1">
        <f t="shared" ref="Q1993" si="1058">P1993*1400</f>
        <v>0</v>
      </c>
      <c r="R1993" s="1">
        <v>325</v>
      </c>
      <c r="S1993" s="1">
        <f t="shared" ref="S1993" si="1059">R1993*3751</f>
        <v>1219075</v>
      </c>
      <c r="T1993" s="1">
        <v>0</v>
      </c>
      <c r="U1993" s="1">
        <v>50000</v>
      </c>
      <c r="V1993" s="1">
        <v>0</v>
      </c>
      <c r="W1993" s="1">
        <v>0</v>
      </c>
      <c r="X1993" s="1">
        <v>0</v>
      </c>
      <c r="Y1993" s="1">
        <v>0</v>
      </c>
      <c r="Z1993" s="1">
        <v>0</v>
      </c>
      <c r="AA1993" s="1">
        <v>0</v>
      </c>
      <c r="AB1993" s="1">
        <v>0</v>
      </c>
      <c r="AC1993" s="1">
        <v>0</v>
      </c>
      <c r="AD1993" s="1">
        <v>0</v>
      </c>
    </row>
    <row r="1994" spans="1:30" s="20" customFormat="1" ht="36" customHeight="1" x14ac:dyDescent="0.25">
      <c r="A1994" s="2">
        <f t="shared" si="1038"/>
        <v>1928</v>
      </c>
      <c r="B1994" s="3">
        <f t="shared" si="988"/>
        <v>1928</v>
      </c>
      <c r="C1994" s="19" t="s">
        <v>1219</v>
      </c>
      <c r="D1994" s="4">
        <f t="shared" si="1039"/>
        <v>5249508.88</v>
      </c>
      <c r="E1994" s="1">
        <f>SUM(F1994:K1994)</f>
        <v>1290998.8800000001</v>
      </c>
      <c r="F1994" s="1">
        <f>804*1605.72</f>
        <v>1290998.8800000001</v>
      </c>
      <c r="G1994" s="1">
        <v>0</v>
      </c>
      <c r="H1994" s="1">
        <v>0</v>
      </c>
      <c r="I1994" s="1">
        <v>0</v>
      </c>
      <c r="J1994" s="1">
        <v>0</v>
      </c>
      <c r="K1994" s="1">
        <v>0</v>
      </c>
      <c r="L1994" s="2">
        <v>0</v>
      </c>
      <c r="M1994" s="1">
        <v>0</v>
      </c>
      <c r="N1994" s="1">
        <v>0</v>
      </c>
      <c r="O1994" s="1">
        <v>0</v>
      </c>
      <c r="P1994" s="1">
        <v>50</v>
      </c>
      <c r="Q1994" s="1">
        <f>P1994*1400</f>
        <v>70000</v>
      </c>
      <c r="R1994" s="1">
        <v>1010</v>
      </c>
      <c r="S1994" s="1">
        <f>R1994*3751</f>
        <v>3788510</v>
      </c>
      <c r="T1994" s="1">
        <v>0</v>
      </c>
      <c r="U1994" s="1">
        <v>50000</v>
      </c>
      <c r="V1994" s="1">
        <v>0</v>
      </c>
      <c r="W1994" s="1">
        <v>50000</v>
      </c>
      <c r="X1994" s="1">
        <v>0</v>
      </c>
      <c r="Y1994" s="1">
        <v>0</v>
      </c>
      <c r="Z1994" s="1">
        <v>0</v>
      </c>
      <c r="AA1994" s="1">
        <v>0</v>
      </c>
      <c r="AB1994" s="1">
        <v>0</v>
      </c>
      <c r="AC1994" s="1">
        <v>0</v>
      </c>
      <c r="AD1994" s="1">
        <v>0</v>
      </c>
    </row>
    <row r="1995" spans="1:30" s="20" customFormat="1" ht="36" customHeight="1" x14ac:dyDescent="0.25">
      <c r="A1995" s="2">
        <f t="shared" si="1038"/>
        <v>1929</v>
      </c>
      <c r="B1995" s="3">
        <f>A1995</f>
        <v>1929</v>
      </c>
      <c r="C1995" s="19" t="s">
        <v>1220</v>
      </c>
      <c r="D1995" s="4">
        <f t="shared" si="1039"/>
        <v>1670392</v>
      </c>
      <c r="E1995" s="1">
        <f>SUM(F1995:K1995)</f>
        <v>0</v>
      </c>
      <c r="F1995" s="1">
        <v>0</v>
      </c>
      <c r="G1995" s="1">
        <v>0</v>
      </c>
      <c r="H1995" s="1">
        <v>0</v>
      </c>
      <c r="I1995" s="1">
        <v>0</v>
      </c>
      <c r="J1995" s="1">
        <v>0</v>
      </c>
      <c r="K1995" s="1">
        <v>0</v>
      </c>
      <c r="L1995" s="2">
        <v>0</v>
      </c>
      <c r="M1995" s="1">
        <v>0</v>
      </c>
      <c r="N1995" s="1">
        <v>0</v>
      </c>
      <c r="O1995" s="1">
        <v>0</v>
      </c>
      <c r="P1995" s="1">
        <v>0</v>
      </c>
      <c r="Q1995" s="1">
        <f>P1995*1400</f>
        <v>0</v>
      </c>
      <c r="R1995" s="1">
        <v>392</v>
      </c>
      <c r="S1995" s="1">
        <f>R1995*3751</f>
        <v>1470392</v>
      </c>
      <c r="T1995" s="1">
        <v>150000</v>
      </c>
      <c r="U1995" s="1">
        <v>0</v>
      </c>
      <c r="V1995" s="1">
        <v>0</v>
      </c>
      <c r="W1995" s="1">
        <v>50000</v>
      </c>
      <c r="X1995" s="1">
        <v>0</v>
      </c>
      <c r="Y1995" s="1">
        <v>0</v>
      </c>
      <c r="Z1995" s="1">
        <v>0</v>
      </c>
      <c r="AA1995" s="1">
        <v>0</v>
      </c>
      <c r="AB1995" s="1">
        <v>0</v>
      </c>
      <c r="AC1995" s="1">
        <v>0</v>
      </c>
      <c r="AD1995" s="1">
        <v>0</v>
      </c>
    </row>
    <row r="1996" spans="1:30" s="20" customFormat="1" ht="36" customHeight="1" x14ac:dyDescent="0.25">
      <c r="A1996" s="2">
        <f t="shared" si="1038"/>
        <v>1930</v>
      </c>
      <c r="B1996" s="3">
        <f>A1996</f>
        <v>1930</v>
      </c>
      <c r="C1996" s="19" t="s">
        <v>1221</v>
      </c>
      <c r="D1996" s="4">
        <f t="shared" si="1039"/>
        <v>8474954.8000000007</v>
      </c>
      <c r="E1996" s="1">
        <f>SUM(F1996:K1996)</f>
        <v>802954.8</v>
      </c>
      <c r="F1996" s="1">
        <f>804*998.7</f>
        <v>802954.8</v>
      </c>
      <c r="G1996" s="1">
        <v>0</v>
      </c>
      <c r="H1996" s="1">
        <v>0</v>
      </c>
      <c r="I1996" s="1">
        <v>0</v>
      </c>
      <c r="J1996" s="1">
        <v>0</v>
      </c>
      <c r="K1996" s="1">
        <v>0</v>
      </c>
      <c r="L1996" s="2">
        <v>0</v>
      </c>
      <c r="M1996" s="1">
        <v>0</v>
      </c>
      <c r="N1996" s="1">
        <v>726</v>
      </c>
      <c r="O1996" s="1">
        <f>N1996*7750</f>
        <v>5626500</v>
      </c>
      <c r="P1996" s="1">
        <v>50</v>
      </c>
      <c r="Q1996" s="1">
        <f>P1996*1400</f>
        <v>70000</v>
      </c>
      <c r="R1996" s="1">
        <v>500</v>
      </c>
      <c r="S1996" s="1">
        <f>R1996*3751</f>
        <v>1875500</v>
      </c>
      <c r="T1996" s="1">
        <v>0</v>
      </c>
      <c r="U1996" s="1">
        <v>50000</v>
      </c>
      <c r="V1996" s="1">
        <v>0</v>
      </c>
      <c r="W1996" s="1">
        <v>50000</v>
      </c>
      <c r="X1996" s="1">
        <v>0</v>
      </c>
      <c r="Y1996" s="1">
        <v>0</v>
      </c>
      <c r="Z1996" s="1">
        <v>0</v>
      </c>
      <c r="AA1996" s="1">
        <v>0</v>
      </c>
      <c r="AB1996" s="1">
        <v>0</v>
      </c>
      <c r="AC1996" s="1">
        <v>0</v>
      </c>
      <c r="AD1996" s="1">
        <v>0</v>
      </c>
    </row>
    <row r="1997" spans="1:30" s="20" customFormat="1" ht="36" customHeight="1" x14ac:dyDescent="0.25">
      <c r="A1997" s="2">
        <f t="shared" si="1038"/>
        <v>1931</v>
      </c>
      <c r="B1997" s="3">
        <f>A1997</f>
        <v>1931</v>
      </c>
      <c r="C1997" s="19" t="s">
        <v>2005</v>
      </c>
      <c r="D1997" s="4">
        <f t="shared" si="1039"/>
        <v>4797813.2</v>
      </c>
      <c r="E1997" s="1">
        <f>SUM(F1997:K1997)</f>
        <v>940458.20000000007</v>
      </c>
      <c r="F1997" s="1">
        <f>804*566.2</f>
        <v>455224.80000000005</v>
      </c>
      <c r="G1997" s="1">
        <v>0</v>
      </c>
      <c r="H1997" s="1">
        <f>390*566.2</f>
        <v>220818.00000000003</v>
      </c>
      <c r="I1997" s="1">
        <v>0</v>
      </c>
      <c r="J1997" s="1">
        <f>467*566.2</f>
        <v>264415.40000000002</v>
      </c>
      <c r="K1997" s="1">
        <v>0</v>
      </c>
      <c r="L1997" s="2">
        <v>0</v>
      </c>
      <c r="M1997" s="1">
        <v>0</v>
      </c>
      <c r="N1997" s="1">
        <v>372</v>
      </c>
      <c r="O1997" s="1">
        <f>N1997*4968</f>
        <v>1848096</v>
      </c>
      <c r="P1997" s="1">
        <v>0</v>
      </c>
      <c r="Q1997" s="1">
        <f>P1997*1400</f>
        <v>0</v>
      </c>
      <c r="R1997" s="1">
        <v>509</v>
      </c>
      <c r="S1997" s="1">
        <f>R1997*3751</f>
        <v>1909259</v>
      </c>
      <c r="T1997" s="1">
        <v>0</v>
      </c>
      <c r="U1997" s="1">
        <v>50000</v>
      </c>
      <c r="V1997" s="1">
        <v>0</v>
      </c>
      <c r="W1997" s="1">
        <v>50000</v>
      </c>
      <c r="X1997" s="1">
        <v>0</v>
      </c>
      <c r="Y1997" s="1">
        <v>0</v>
      </c>
      <c r="Z1997" s="1">
        <v>0</v>
      </c>
      <c r="AA1997" s="1">
        <v>0</v>
      </c>
      <c r="AB1997" s="1">
        <v>0</v>
      </c>
      <c r="AC1997" s="1">
        <v>0</v>
      </c>
      <c r="AD1997" s="1">
        <v>0</v>
      </c>
    </row>
    <row r="1998" spans="1:30" s="20" customFormat="1" ht="36" customHeight="1" x14ac:dyDescent="0.25">
      <c r="A1998" s="2">
        <f t="shared" si="1038"/>
        <v>1932</v>
      </c>
      <c r="B1998" s="3">
        <f>A1998</f>
        <v>1932</v>
      </c>
      <c r="C1998" s="19" t="s">
        <v>2006</v>
      </c>
      <c r="D1998" s="4">
        <f t="shared" si="1039"/>
        <v>6112213.5999999996</v>
      </c>
      <c r="E1998" s="1">
        <f>SUM(F1998:K1998)</f>
        <v>942783.60000000009</v>
      </c>
      <c r="F1998" s="1">
        <f>804*567.6</f>
        <v>456350.4</v>
      </c>
      <c r="G1998" s="1">
        <v>0</v>
      </c>
      <c r="H1998" s="1">
        <f>390*567.6</f>
        <v>221364</v>
      </c>
      <c r="I1998" s="1">
        <v>0</v>
      </c>
      <c r="J1998" s="1">
        <f>467*567.6</f>
        <v>265069.2</v>
      </c>
      <c r="K1998" s="1">
        <v>0</v>
      </c>
      <c r="L1998" s="2">
        <v>0</v>
      </c>
      <c r="M1998" s="1">
        <v>0</v>
      </c>
      <c r="N1998" s="1">
        <v>446</v>
      </c>
      <c r="O1998" s="1">
        <f>N1998*7750</f>
        <v>3456500</v>
      </c>
      <c r="P1998" s="1">
        <v>0</v>
      </c>
      <c r="Q1998" s="1">
        <f>P1998*1400</f>
        <v>0</v>
      </c>
      <c r="R1998" s="1">
        <v>430</v>
      </c>
      <c r="S1998" s="1">
        <f>R1998*3751</f>
        <v>1612930</v>
      </c>
      <c r="T1998" s="1">
        <v>0</v>
      </c>
      <c r="U1998" s="1">
        <v>50000</v>
      </c>
      <c r="V1998" s="1">
        <v>0</v>
      </c>
      <c r="W1998" s="1">
        <v>50000</v>
      </c>
      <c r="X1998" s="1">
        <v>0</v>
      </c>
      <c r="Y1998" s="1">
        <v>0</v>
      </c>
      <c r="Z1998" s="1">
        <v>0</v>
      </c>
      <c r="AA1998" s="1">
        <v>0</v>
      </c>
      <c r="AB1998" s="1">
        <v>0</v>
      </c>
      <c r="AC1998" s="1">
        <v>0</v>
      </c>
      <c r="AD1998" s="1">
        <v>0</v>
      </c>
    </row>
    <row r="1999" spans="1:30" s="20" customFormat="1" ht="36" customHeight="1" x14ac:dyDescent="0.25">
      <c r="A1999" s="2">
        <f t="shared" si="1038"/>
        <v>1933</v>
      </c>
      <c r="B1999" s="3">
        <f t="shared" ref="B1999" si="1060">A1999</f>
        <v>1933</v>
      </c>
      <c r="C1999" s="19" t="s">
        <v>1771</v>
      </c>
      <c r="D1999" s="4">
        <f t="shared" ref="D1999:D2001" si="1061">E1999+M1999+O1999+Q1999+S1999+T1999+U1999+V1999+W1999+X1999+Z1999+AA1999+AB1999+AC1999+AD1999</f>
        <v>3801558.8</v>
      </c>
      <c r="E1999" s="1">
        <f t="shared" ref="E1999" si="1062">SUM(F1999:K1999)</f>
        <v>301258.8</v>
      </c>
      <c r="F1999" s="1">
        <f>804*374.7</f>
        <v>301258.8</v>
      </c>
      <c r="G1999" s="1">
        <v>0</v>
      </c>
      <c r="H1999" s="1">
        <v>0</v>
      </c>
      <c r="I1999" s="1">
        <v>0</v>
      </c>
      <c r="J1999" s="1">
        <v>0</v>
      </c>
      <c r="K1999" s="1">
        <v>0</v>
      </c>
      <c r="L1999" s="2">
        <v>0</v>
      </c>
      <c r="M1999" s="1">
        <v>0</v>
      </c>
      <c r="N1999" s="1">
        <v>300</v>
      </c>
      <c r="O1999" s="1">
        <f t="shared" ref="O1999" si="1063">N1999*7750</f>
        <v>2325000</v>
      </c>
      <c r="P1999" s="1">
        <v>0</v>
      </c>
      <c r="Q1999" s="1">
        <f t="shared" ref="Q1999" si="1064">P1999*1400</f>
        <v>0</v>
      </c>
      <c r="R1999" s="1">
        <v>300</v>
      </c>
      <c r="S1999" s="1">
        <f t="shared" ref="S1999" si="1065">R1999*3751</f>
        <v>1125300</v>
      </c>
      <c r="T1999" s="1">
        <v>0</v>
      </c>
      <c r="U1999" s="1">
        <v>50000</v>
      </c>
      <c r="V1999" s="1">
        <v>0</v>
      </c>
      <c r="W1999" s="1">
        <v>0</v>
      </c>
      <c r="X1999" s="1">
        <v>0</v>
      </c>
      <c r="Y1999" s="1">
        <v>0</v>
      </c>
      <c r="Z1999" s="1">
        <v>0</v>
      </c>
      <c r="AA1999" s="1">
        <v>0</v>
      </c>
      <c r="AB1999" s="1">
        <v>0</v>
      </c>
      <c r="AC1999" s="1">
        <v>0</v>
      </c>
      <c r="AD1999" s="1">
        <v>0</v>
      </c>
    </row>
    <row r="2000" spans="1:30" s="20" customFormat="1" ht="36" customHeight="1" x14ac:dyDescent="0.25">
      <c r="A2000" s="2">
        <f t="shared" si="1038"/>
        <v>1934</v>
      </c>
      <c r="B2000" s="3">
        <f t="shared" ref="B2000" si="1066">A2000</f>
        <v>1934</v>
      </c>
      <c r="C2000" s="19" t="s">
        <v>1772</v>
      </c>
      <c r="D2000" s="4">
        <f t="shared" si="1061"/>
        <v>3799790</v>
      </c>
      <c r="E2000" s="1">
        <f t="shared" ref="E2000" si="1067">SUM(F2000:K2000)</f>
        <v>299490</v>
      </c>
      <c r="F2000" s="1">
        <f>804*372.5</f>
        <v>299490</v>
      </c>
      <c r="G2000" s="1">
        <v>0</v>
      </c>
      <c r="H2000" s="1">
        <v>0</v>
      </c>
      <c r="I2000" s="1">
        <v>0</v>
      </c>
      <c r="J2000" s="1">
        <v>0</v>
      </c>
      <c r="K2000" s="1">
        <v>0</v>
      </c>
      <c r="L2000" s="2">
        <v>0</v>
      </c>
      <c r="M2000" s="1">
        <v>0</v>
      </c>
      <c r="N2000" s="1">
        <v>300</v>
      </c>
      <c r="O2000" s="1">
        <f t="shared" ref="O2000" si="1068">N2000*7750</f>
        <v>2325000</v>
      </c>
      <c r="P2000" s="1">
        <v>0</v>
      </c>
      <c r="Q2000" s="1">
        <f t="shared" ref="Q2000" si="1069">P2000*1400</f>
        <v>0</v>
      </c>
      <c r="R2000" s="1">
        <v>300</v>
      </c>
      <c r="S2000" s="1">
        <f t="shared" ref="S2000" si="1070">R2000*3751</f>
        <v>1125300</v>
      </c>
      <c r="T2000" s="1">
        <v>0</v>
      </c>
      <c r="U2000" s="1">
        <v>50000</v>
      </c>
      <c r="V2000" s="1">
        <v>0</v>
      </c>
      <c r="W2000" s="1">
        <v>0</v>
      </c>
      <c r="X2000" s="1">
        <v>0</v>
      </c>
      <c r="Y2000" s="1">
        <v>0</v>
      </c>
      <c r="Z2000" s="1">
        <v>0</v>
      </c>
      <c r="AA2000" s="1">
        <v>0</v>
      </c>
      <c r="AB2000" s="1">
        <v>0</v>
      </c>
      <c r="AC2000" s="1">
        <v>0</v>
      </c>
      <c r="AD2000" s="1">
        <v>0</v>
      </c>
    </row>
    <row r="2001" spans="1:30" s="20" customFormat="1" ht="36" customHeight="1" x14ac:dyDescent="0.25">
      <c r="A2001" s="2">
        <f t="shared" si="1038"/>
        <v>1935</v>
      </c>
      <c r="B2001" s="3">
        <f t="shared" ref="B2001" si="1071">A2001</f>
        <v>1935</v>
      </c>
      <c r="C2001" s="19" t="s">
        <v>2031</v>
      </c>
      <c r="D2001" s="4">
        <f t="shared" si="1061"/>
        <v>2109691.4000000004</v>
      </c>
      <c r="E2001" s="1">
        <f t="shared" ref="E2001" si="1072">SUM(F2001:K2001)</f>
        <v>2059691.4000000001</v>
      </c>
      <c r="F2001" s="1">
        <f>804*614.1</f>
        <v>493736.4</v>
      </c>
      <c r="G2001" s="1">
        <f>1693*614.1</f>
        <v>1039671.3</v>
      </c>
      <c r="H2001" s="1">
        <f>390*614.1</f>
        <v>239499</v>
      </c>
      <c r="I2001" s="1">
        <v>0</v>
      </c>
      <c r="J2001" s="1">
        <f>467*614.1</f>
        <v>286784.7</v>
      </c>
      <c r="K2001" s="1">
        <v>0</v>
      </c>
      <c r="L2001" s="2">
        <v>0</v>
      </c>
      <c r="M2001" s="1">
        <v>0</v>
      </c>
      <c r="N2001" s="1">
        <v>0</v>
      </c>
      <c r="O2001" s="1">
        <f t="shared" ref="O2001" si="1073">N2001*7750</f>
        <v>0</v>
      </c>
      <c r="P2001" s="1">
        <v>0</v>
      </c>
      <c r="Q2001" s="1">
        <f t="shared" ref="Q2001" si="1074">P2001*1400</f>
        <v>0</v>
      </c>
      <c r="R2001" s="1">
        <v>0</v>
      </c>
      <c r="S2001" s="1">
        <f t="shared" ref="S2001" si="1075">R2001*3751</f>
        <v>0</v>
      </c>
      <c r="T2001" s="1">
        <v>0</v>
      </c>
      <c r="U2001" s="1">
        <v>50000</v>
      </c>
      <c r="V2001" s="1">
        <v>0</v>
      </c>
      <c r="W2001" s="1">
        <v>0</v>
      </c>
      <c r="X2001" s="1">
        <v>0</v>
      </c>
      <c r="Y2001" s="1">
        <v>0</v>
      </c>
      <c r="Z2001" s="1">
        <v>0</v>
      </c>
      <c r="AA2001" s="1">
        <v>0</v>
      </c>
      <c r="AB2001" s="1">
        <v>0</v>
      </c>
      <c r="AC2001" s="1">
        <v>0</v>
      </c>
      <c r="AD2001" s="1">
        <v>0</v>
      </c>
    </row>
    <row r="2002" spans="1:30" s="20" customFormat="1" ht="54.95" customHeight="1" x14ac:dyDescent="0.25">
      <c r="A2002" s="3"/>
      <c r="B2002" s="47" t="s">
        <v>1968</v>
      </c>
      <c r="C2002" s="48"/>
      <c r="D2002" s="4">
        <f>SUM(D2003:D2052)</f>
        <v>521467635.16999984</v>
      </c>
      <c r="E2002" s="4">
        <f t="shared" ref="E2002:AD2002" si="1076">SUM(E2003:E2052)</f>
        <v>149175883.17000002</v>
      </c>
      <c r="F2002" s="4">
        <f t="shared" si="1076"/>
        <v>38087433.720000006</v>
      </c>
      <c r="G2002" s="4">
        <f t="shared" si="1076"/>
        <v>59121980.989999995</v>
      </c>
      <c r="H2002" s="4">
        <f t="shared" si="1076"/>
        <v>15810494.699999999</v>
      </c>
      <c r="I2002" s="4">
        <f t="shared" si="1076"/>
        <v>17153039.850000001</v>
      </c>
      <c r="J2002" s="4">
        <f t="shared" si="1076"/>
        <v>19002933.910000004</v>
      </c>
      <c r="K2002" s="4">
        <f t="shared" si="1076"/>
        <v>0</v>
      </c>
      <c r="L2002" s="17">
        <f t="shared" si="1076"/>
        <v>0</v>
      </c>
      <c r="M2002" s="4">
        <f t="shared" si="1076"/>
        <v>0</v>
      </c>
      <c r="N2002" s="4">
        <f t="shared" si="1076"/>
        <v>19393</v>
      </c>
      <c r="O2002" s="4">
        <f t="shared" si="1076"/>
        <v>146400950</v>
      </c>
      <c r="P2002" s="4">
        <f t="shared" si="1076"/>
        <v>750</v>
      </c>
      <c r="Q2002" s="4">
        <f t="shared" si="1076"/>
        <v>1050000</v>
      </c>
      <c r="R2002" s="4">
        <f t="shared" si="1076"/>
        <v>58302</v>
      </c>
      <c r="S2002" s="4">
        <f t="shared" si="1076"/>
        <v>218690802</v>
      </c>
      <c r="T2002" s="4">
        <f t="shared" si="1076"/>
        <v>2100000</v>
      </c>
      <c r="U2002" s="4">
        <f t="shared" si="1076"/>
        <v>2200000</v>
      </c>
      <c r="V2002" s="4">
        <f t="shared" si="1076"/>
        <v>0</v>
      </c>
      <c r="W2002" s="4">
        <f t="shared" si="1076"/>
        <v>1850000</v>
      </c>
      <c r="X2002" s="4">
        <f t="shared" si="1076"/>
        <v>0</v>
      </c>
      <c r="Y2002" s="4">
        <f t="shared" si="1076"/>
        <v>0</v>
      </c>
      <c r="Z2002" s="4">
        <f t="shared" si="1076"/>
        <v>0</v>
      </c>
      <c r="AA2002" s="4">
        <f t="shared" si="1076"/>
        <v>0</v>
      </c>
      <c r="AB2002" s="4">
        <f t="shared" si="1076"/>
        <v>0</v>
      </c>
      <c r="AC2002" s="4">
        <f t="shared" si="1076"/>
        <v>0</v>
      </c>
      <c r="AD2002" s="4">
        <f t="shared" si="1076"/>
        <v>0</v>
      </c>
    </row>
    <row r="2003" spans="1:30" s="20" customFormat="1" ht="36" customHeight="1" x14ac:dyDescent="0.25">
      <c r="A2003" s="2">
        <f>ROW()-ROW($A$11)-56</f>
        <v>1936</v>
      </c>
      <c r="B2003" s="3">
        <f>A2003</f>
        <v>1936</v>
      </c>
      <c r="C2003" s="19" t="s">
        <v>2032</v>
      </c>
      <c r="D2003" s="4">
        <f t="shared" ref="D2003:D2034" si="1077">E2003+M2003+O2003+Q2003+S2003+T2003+U2003+V2003+W2003+X2003+Z2003+AA2003+AB2003+AC2003+AD2003</f>
        <v>2712500</v>
      </c>
      <c r="E2003" s="1">
        <f>SUM(F2003:K2003)</f>
        <v>0</v>
      </c>
      <c r="F2003" s="1">
        <v>0</v>
      </c>
      <c r="G2003" s="1">
        <v>0</v>
      </c>
      <c r="H2003" s="1">
        <v>0</v>
      </c>
      <c r="I2003" s="1">
        <v>0</v>
      </c>
      <c r="J2003" s="1">
        <v>0</v>
      </c>
      <c r="K2003" s="1">
        <v>0</v>
      </c>
      <c r="L2003" s="2">
        <v>0</v>
      </c>
      <c r="M2003" s="1">
        <v>0</v>
      </c>
      <c r="N2003" s="1">
        <v>350</v>
      </c>
      <c r="O2003" s="1">
        <f>N2003*7750</f>
        <v>2712500</v>
      </c>
      <c r="P2003" s="1">
        <v>0</v>
      </c>
      <c r="Q2003" s="1">
        <f>P2003*1400</f>
        <v>0</v>
      </c>
      <c r="R2003" s="1">
        <v>0</v>
      </c>
      <c r="S2003" s="1">
        <f>R2003*3751</f>
        <v>0</v>
      </c>
      <c r="T2003" s="1">
        <v>0</v>
      </c>
      <c r="U2003" s="1">
        <v>0</v>
      </c>
      <c r="V2003" s="1">
        <v>0</v>
      </c>
      <c r="W2003" s="1">
        <v>0</v>
      </c>
      <c r="X2003" s="1">
        <v>0</v>
      </c>
      <c r="Y2003" s="1">
        <v>0</v>
      </c>
      <c r="Z2003" s="1">
        <v>0</v>
      </c>
      <c r="AA2003" s="1">
        <v>0</v>
      </c>
      <c r="AB2003" s="1">
        <v>0</v>
      </c>
      <c r="AC2003" s="1">
        <v>0</v>
      </c>
      <c r="AD2003" s="1">
        <v>0</v>
      </c>
    </row>
    <row r="2004" spans="1:30" s="20" customFormat="1" ht="36" customHeight="1" x14ac:dyDescent="0.25">
      <c r="A2004" s="2">
        <f t="shared" ref="A2004:A2052" si="1078">ROW()-ROW($A$11)-56</f>
        <v>1937</v>
      </c>
      <c r="B2004" s="3">
        <f>A2004</f>
        <v>1937</v>
      </c>
      <c r="C2004" s="19" t="s">
        <v>2033</v>
      </c>
      <c r="D2004" s="4">
        <f t="shared" si="1077"/>
        <v>10751850</v>
      </c>
      <c r="E2004" s="1">
        <f>SUM(F2004:K2004)</f>
        <v>6727450</v>
      </c>
      <c r="F2004" s="1">
        <f>804*1714</f>
        <v>1378056</v>
      </c>
      <c r="G2004" s="1">
        <f>1693*1714</f>
        <v>2901802</v>
      </c>
      <c r="H2004" s="1">
        <f>390*1714</f>
        <v>668460</v>
      </c>
      <c r="I2004" s="1">
        <f>571*1714</f>
        <v>978694</v>
      </c>
      <c r="J2004" s="1">
        <f>467*1714</f>
        <v>800438</v>
      </c>
      <c r="K2004" s="1">
        <v>0</v>
      </c>
      <c r="L2004" s="2">
        <v>0</v>
      </c>
      <c r="M2004" s="1">
        <v>0</v>
      </c>
      <c r="N2004" s="1">
        <v>800</v>
      </c>
      <c r="O2004" s="1">
        <f>N2004*4968</f>
        <v>3974400</v>
      </c>
      <c r="P2004" s="1">
        <v>0</v>
      </c>
      <c r="Q2004" s="1">
        <f>P2004*1400</f>
        <v>0</v>
      </c>
      <c r="R2004" s="1">
        <v>0</v>
      </c>
      <c r="S2004" s="1">
        <f>R2004*3751</f>
        <v>0</v>
      </c>
      <c r="T2004" s="1">
        <v>0</v>
      </c>
      <c r="U2004" s="1">
        <v>50000</v>
      </c>
      <c r="V2004" s="1">
        <v>0</v>
      </c>
      <c r="W2004" s="1">
        <v>0</v>
      </c>
      <c r="X2004" s="1">
        <v>0</v>
      </c>
      <c r="Y2004" s="1">
        <v>0</v>
      </c>
      <c r="Z2004" s="1">
        <v>0</v>
      </c>
      <c r="AA2004" s="1">
        <v>0</v>
      </c>
      <c r="AB2004" s="1">
        <v>0</v>
      </c>
      <c r="AC2004" s="1">
        <v>0</v>
      </c>
      <c r="AD2004" s="1">
        <v>0</v>
      </c>
    </row>
    <row r="2005" spans="1:30" s="20" customFormat="1" ht="36" customHeight="1" x14ac:dyDescent="0.25">
      <c r="A2005" s="2">
        <f t="shared" si="1078"/>
        <v>1938</v>
      </c>
      <c r="B2005" s="3">
        <f>A2005</f>
        <v>1938</v>
      </c>
      <c r="C2005" s="19" t="s">
        <v>1222</v>
      </c>
      <c r="D2005" s="4">
        <f t="shared" si="1077"/>
        <v>16126912.5</v>
      </c>
      <c r="E2005" s="1">
        <f>SUM(F2005:K2005)</f>
        <v>3126262.5</v>
      </c>
      <c r="F2005" s="1">
        <f>804*796.5</f>
        <v>640386</v>
      </c>
      <c r="G2005" s="1">
        <f>1693*796.5</f>
        <v>1348474.5</v>
      </c>
      <c r="H2005" s="1">
        <f>390*796.5</f>
        <v>310635</v>
      </c>
      <c r="I2005" s="1">
        <f>571*796.5</f>
        <v>454801.5</v>
      </c>
      <c r="J2005" s="1">
        <f>467*796.5</f>
        <v>371965.5</v>
      </c>
      <c r="K2005" s="1">
        <v>0</v>
      </c>
      <c r="L2005" s="2">
        <v>0</v>
      </c>
      <c r="M2005" s="1">
        <v>0</v>
      </c>
      <c r="N2005" s="1">
        <v>503</v>
      </c>
      <c r="O2005" s="1">
        <f>N2005*7750</f>
        <v>3898250</v>
      </c>
      <c r="P2005" s="1">
        <v>0</v>
      </c>
      <c r="Q2005" s="1">
        <f>P2005*1400</f>
        <v>0</v>
      </c>
      <c r="R2005" s="1">
        <v>2400</v>
      </c>
      <c r="S2005" s="1">
        <f>R2005*3751</f>
        <v>9002400</v>
      </c>
      <c r="T2005" s="1">
        <v>0</v>
      </c>
      <c r="U2005" s="1">
        <v>50000</v>
      </c>
      <c r="V2005" s="1">
        <v>0</v>
      </c>
      <c r="W2005" s="1">
        <v>50000</v>
      </c>
      <c r="X2005" s="1">
        <v>0</v>
      </c>
      <c r="Y2005" s="1">
        <v>0</v>
      </c>
      <c r="Z2005" s="1">
        <v>0</v>
      </c>
      <c r="AA2005" s="1">
        <v>0</v>
      </c>
      <c r="AB2005" s="1">
        <v>0</v>
      </c>
      <c r="AC2005" s="1">
        <v>0</v>
      </c>
      <c r="AD2005" s="1">
        <v>0</v>
      </c>
    </row>
    <row r="2006" spans="1:30" s="20" customFormat="1" ht="36" customHeight="1" x14ac:dyDescent="0.25">
      <c r="A2006" s="2">
        <f t="shared" si="1078"/>
        <v>1939</v>
      </c>
      <c r="B2006" s="3">
        <f t="shared" ref="B2006:B2052" si="1079">A2006</f>
        <v>1939</v>
      </c>
      <c r="C2006" s="19" t="s">
        <v>1223</v>
      </c>
      <c r="D2006" s="4">
        <f t="shared" si="1077"/>
        <v>15766300</v>
      </c>
      <c r="E2006" s="1">
        <f t="shared" ref="E2006:E2052" si="1080">SUM(F2006:K2006)</f>
        <v>2833850</v>
      </c>
      <c r="F2006" s="1">
        <f>804*722</f>
        <v>580488</v>
      </c>
      <c r="G2006" s="1">
        <f>1693*722</f>
        <v>1222346</v>
      </c>
      <c r="H2006" s="1">
        <f>390*722</f>
        <v>281580</v>
      </c>
      <c r="I2006" s="1">
        <f>571*722</f>
        <v>412262</v>
      </c>
      <c r="J2006" s="1">
        <f>467*722</f>
        <v>337174</v>
      </c>
      <c r="K2006" s="1">
        <v>0</v>
      </c>
      <c r="L2006" s="2">
        <v>0</v>
      </c>
      <c r="M2006" s="1">
        <v>0</v>
      </c>
      <c r="N2006" s="1">
        <v>591</v>
      </c>
      <c r="O2006" s="1">
        <f>N2006*7750</f>
        <v>4580250</v>
      </c>
      <c r="P2006" s="1">
        <v>0</v>
      </c>
      <c r="Q2006" s="1">
        <f t="shared" ref="Q2006:Q2052" si="1081">P2006*1400</f>
        <v>0</v>
      </c>
      <c r="R2006" s="1">
        <v>2200</v>
      </c>
      <c r="S2006" s="1">
        <f t="shared" ref="S2006:S2052" si="1082">R2006*3751</f>
        <v>8252200</v>
      </c>
      <c r="T2006" s="1">
        <v>0</v>
      </c>
      <c r="U2006" s="1">
        <v>50000</v>
      </c>
      <c r="V2006" s="1">
        <v>0</v>
      </c>
      <c r="W2006" s="1">
        <v>50000</v>
      </c>
      <c r="X2006" s="1">
        <v>0</v>
      </c>
      <c r="Y2006" s="1">
        <v>0</v>
      </c>
      <c r="Z2006" s="1">
        <v>0</v>
      </c>
      <c r="AA2006" s="1">
        <v>0</v>
      </c>
      <c r="AB2006" s="1">
        <v>0</v>
      </c>
      <c r="AC2006" s="1">
        <v>0</v>
      </c>
      <c r="AD2006" s="1">
        <v>0</v>
      </c>
    </row>
    <row r="2007" spans="1:30" s="20" customFormat="1" ht="36" customHeight="1" x14ac:dyDescent="0.25">
      <c r="A2007" s="2">
        <f t="shared" si="1078"/>
        <v>1940</v>
      </c>
      <c r="B2007" s="2">
        <f t="shared" si="1079"/>
        <v>1940</v>
      </c>
      <c r="C2007" s="19" t="s">
        <v>2539</v>
      </c>
      <c r="D2007" s="39">
        <f t="shared" si="1077"/>
        <v>39198176.25</v>
      </c>
      <c r="E2007" s="1">
        <f t="shared" si="1080"/>
        <v>13445676.250000002</v>
      </c>
      <c r="F2007" s="1">
        <f>804*3425.65</f>
        <v>2754222.6</v>
      </c>
      <c r="G2007" s="1">
        <f>1693*3425.65</f>
        <v>5799625.4500000002</v>
      </c>
      <c r="H2007" s="1">
        <f>390*3425.65</f>
        <v>1336003.5</v>
      </c>
      <c r="I2007" s="1">
        <f>571*3425.65</f>
        <v>1956046.1500000001</v>
      </c>
      <c r="J2007" s="1">
        <f>467*3425.65</f>
        <v>1599778.55</v>
      </c>
      <c r="K2007" s="1">
        <v>0</v>
      </c>
      <c r="L2007" s="2">
        <v>0</v>
      </c>
      <c r="M2007" s="1">
        <v>0</v>
      </c>
      <c r="N2007" s="1">
        <v>2100</v>
      </c>
      <c r="O2007" s="1">
        <f>N2007*7750</f>
        <v>16275000</v>
      </c>
      <c r="P2007" s="1">
        <v>0</v>
      </c>
      <c r="Q2007" s="1">
        <f t="shared" si="1081"/>
        <v>0</v>
      </c>
      <c r="R2007" s="1">
        <v>2500</v>
      </c>
      <c r="S2007" s="1">
        <f t="shared" si="1082"/>
        <v>9377500</v>
      </c>
      <c r="T2007" s="1">
        <v>0</v>
      </c>
      <c r="U2007" s="1">
        <v>50000</v>
      </c>
      <c r="V2007" s="1">
        <v>0</v>
      </c>
      <c r="W2007" s="1">
        <v>50000</v>
      </c>
      <c r="X2007" s="1">
        <v>0</v>
      </c>
      <c r="Y2007" s="1">
        <v>0</v>
      </c>
      <c r="Z2007" s="1">
        <v>0</v>
      </c>
      <c r="AA2007" s="1">
        <v>0</v>
      </c>
      <c r="AB2007" s="1">
        <v>0</v>
      </c>
      <c r="AC2007" s="1">
        <v>0</v>
      </c>
      <c r="AD2007" s="1">
        <v>0</v>
      </c>
    </row>
    <row r="2008" spans="1:30" s="20" customFormat="1" ht="36" customHeight="1" x14ac:dyDescent="0.25">
      <c r="A2008" s="2">
        <f t="shared" si="1078"/>
        <v>1941</v>
      </c>
      <c r="B2008" s="3">
        <f t="shared" si="1079"/>
        <v>1941</v>
      </c>
      <c r="C2008" s="19" t="s">
        <v>1224</v>
      </c>
      <c r="D2008" s="4">
        <f t="shared" si="1077"/>
        <v>21419435.5</v>
      </c>
      <c r="E2008" s="1">
        <f t="shared" si="1080"/>
        <v>11036707.500000002</v>
      </c>
      <c r="F2008" s="1">
        <f>804*2811.9</f>
        <v>2260767.6</v>
      </c>
      <c r="G2008" s="1">
        <f>1693*2811.9</f>
        <v>4760546.7</v>
      </c>
      <c r="H2008" s="1">
        <f>390*2811.9</f>
        <v>1096641</v>
      </c>
      <c r="I2008" s="1">
        <f>571*2811.9</f>
        <v>1605594.9000000001</v>
      </c>
      <c r="J2008" s="1">
        <f>467*2811.9</f>
        <v>1313157.3</v>
      </c>
      <c r="K2008" s="1">
        <v>0</v>
      </c>
      <c r="L2008" s="2">
        <v>0</v>
      </c>
      <c r="M2008" s="1">
        <v>0</v>
      </c>
      <c r="N2008" s="1">
        <v>600</v>
      </c>
      <c r="O2008" s="1">
        <f>N2008*4968</f>
        <v>2980800</v>
      </c>
      <c r="P2008" s="1">
        <v>50</v>
      </c>
      <c r="Q2008" s="1">
        <f t="shared" si="1081"/>
        <v>70000</v>
      </c>
      <c r="R2008" s="1">
        <v>1928</v>
      </c>
      <c r="S2008" s="1">
        <f t="shared" si="1082"/>
        <v>7231928</v>
      </c>
      <c r="T2008" s="1">
        <v>0</v>
      </c>
      <c r="U2008" s="1">
        <v>50000</v>
      </c>
      <c r="V2008" s="1">
        <v>0</v>
      </c>
      <c r="W2008" s="1">
        <v>50000</v>
      </c>
      <c r="X2008" s="1">
        <v>0</v>
      </c>
      <c r="Y2008" s="1">
        <v>0</v>
      </c>
      <c r="Z2008" s="1">
        <v>0</v>
      </c>
      <c r="AA2008" s="1">
        <v>0</v>
      </c>
      <c r="AB2008" s="1">
        <v>0</v>
      </c>
      <c r="AC2008" s="1">
        <v>0</v>
      </c>
      <c r="AD2008" s="1">
        <v>0</v>
      </c>
    </row>
    <row r="2009" spans="1:30" s="20" customFormat="1" ht="36" customHeight="1" x14ac:dyDescent="0.25">
      <c r="A2009" s="2">
        <f t="shared" si="1078"/>
        <v>1942</v>
      </c>
      <c r="B2009" s="3">
        <f t="shared" ref="B2009" si="1083">A2009</f>
        <v>1942</v>
      </c>
      <c r="C2009" s="19" t="s">
        <v>2034</v>
      </c>
      <c r="D2009" s="4">
        <f t="shared" si="1077"/>
        <v>11842015</v>
      </c>
      <c r="E2009" s="1">
        <f t="shared" ref="E2009" si="1084">SUM(F2009:K2009)</f>
        <v>8791215</v>
      </c>
      <c r="F2009" s="1">
        <f>804*2239.8</f>
        <v>1800799.2000000002</v>
      </c>
      <c r="G2009" s="1">
        <f>1693*2239.8</f>
        <v>3791981.4000000004</v>
      </c>
      <c r="H2009" s="1">
        <f>390*2239.8</f>
        <v>873522.00000000012</v>
      </c>
      <c r="I2009" s="1">
        <f>571*2239.8</f>
        <v>1278925.8</v>
      </c>
      <c r="J2009" s="1">
        <f>467*2239.8</f>
        <v>1045986.6000000001</v>
      </c>
      <c r="K2009" s="1">
        <v>0</v>
      </c>
      <c r="L2009" s="2">
        <v>0</v>
      </c>
      <c r="M2009" s="1">
        <v>0</v>
      </c>
      <c r="N2009" s="1">
        <v>0</v>
      </c>
      <c r="O2009" s="1">
        <v>0</v>
      </c>
      <c r="P2009" s="1">
        <v>0</v>
      </c>
      <c r="Q2009" s="1">
        <v>0</v>
      </c>
      <c r="R2009" s="1">
        <v>800</v>
      </c>
      <c r="S2009" s="1">
        <f t="shared" ref="S2009" si="1085">R2009*3751</f>
        <v>3000800</v>
      </c>
      <c r="T2009" s="1">
        <v>0</v>
      </c>
      <c r="U2009" s="1">
        <v>50000</v>
      </c>
      <c r="V2009" s="1">
        <v>0</v>
      </c>
      <c r="W2009" s="1">
        <v>0</v>
      </c>
      <c r="X2009" s="1">
        <v>0</v>
      </c>
      <c r="Y2009" s="1">
        <v>0</v>
      </c>
      <c r="Z2009" s="1">
        <v>0</v>
      </c>
      <c r="AA2009" s="1">
        <v>0</v>
      </c>
      <c r="AB2009" s="1">
        <v>0</v>
      </c>
      <c r="AC2009" s="1">
        <v>0</v>
      </c>
      <c r="AD2009" s="1">
        <v>0</v>
      </c>
    </row>
    <row r="2010" spans="1:30" s="20" customFormat="1" ht="36" customHeight="1" x14ac:dyDescent="0.25">
      <c r="A2010" s="2">
        <f t="shared" si="1078"/>
        <v>1943</v>
      </c>
      <c r="B2010" s="3">
        <f t="shared" si="1079"/>
        <v>1943</v>
      </c>
      <c r="C2010" s="19" t="s">
        <v>1225</v>
      </c>
      <c r="D2010" s="4">
        <f t="shared" si="1077"/>
        <v>8755182.5</v>
      </c>
      <c r="E2010" s="1">
        <f t="shared" si="1080"/>
        <v>1793332.4999999998</v>
      </c>
      <c r="F2010" s="1">
        <f>804*456.9</f>
        <v>367347.6</v>
      </c>
      <c r="G2010" s="1">
        <f>1693*456.9</f>
        <v>773531.7</v>
      </c>
      <c r="H2010" s="1">
        <f>390*456.9</f>
        <v>178191</v>
      </c>
      <c r="I2010" s="1">
        <f>571*456.9</f>
        <v>260889.9</v>
      </c>
      <c r="J2010" s="1">
        <f>467*456.9</f>
        <v>213372.3</v>
      </c>
      <c r="K2010" s="1">
        <v>0</v>
      </c>
      <c r="L2010" s="2">
        <v>0</v>
      </c>
      <c r="M2010" s="1">
        <v>0</v>
      </c>
      <c r="N2010" s="1">
        <v>353</v>
      </c>
      <c r="O2010" s="1">
        <f t="shared" ref="O2010:O2016" si="1086">N2010*7750</f>
        <v>2735750</v>
      </c>
      <c r="P2010" s="1">
        <v>0</v>
      </c>
      <c r="Q2010" s="1">
        <f t="shared" si="1081"/>
        <v>0</v>
      </c>
      <c r="R2010" s="1">
        <v>1100</v>
      </c>
      <c r="S2010" s="1">
        <f t="shared" si="1082"/>
        <v>4126100</v>
      </c>
      <c r="T2010" s="1">
        <v>0</v>
      </c>
      <c r="U2010" s="1">
        <v>50000</v>
      </c>
      <c r="V2010" s="1">
        <v>0</v>
      </c>
      <c r="W2010" s="1">
        <v>50000</v>
      </c>
      <c r="X2010" s="1">
        <v>0</v>
      </c>
      <c r="Y2010" s="1">
        <v>0</v>
      </c>
      <c r="Z2010" s="1">
        <v>0</v>
      </c>
      <c r="AA2010" s="1">
        <v>0</v>
      </c>
      <c r="AB2010" s="1">
        <v>0</v>
      </c>
      <c r="AC2010" s="1">
        <v>0</v>
      </c>
      <c r="AD2010" s="1">
        <v>0</v>
      </c>
    </row>
    <row r="2011" spans="1:30" s="20" customFormat="1" ht="36" customHeight="1" x14ac:dyDescent="0.25">
      <c r="A2011" s="2">
        <f t="shared" si="1078"/>
        <v>1944</v>
      </c>
      <c r="B2011" s="3">
        <f t="shared" si="1079"/>
        <v>1944</v>
      </c>
      <c r="C2011" s="19" t="s">
        <v>1226</v>
      </c>
      <c r="D2011" s="4">
        <f t="shared" si="1077"/>
        <v>7874468.9199999999</v>
      </c>
      <c r="E2011" s="1">
        <f t="shared" si="1080"/>
        <v>1411966.92</v>
      </c>
      <c r="F2011" s="1">
        <f>804*420.98</f>
        <v>338467.92000000004</v>
      </c>
      <c r="G2011" s="1">
        <f>1693*420.98</f>
        <v>712719.14</v>
      </c>
      <c r="H2011" s="1">
        <f>390*420.98</f>
        <v>164182.20000000001</v>
      </c>
      <c r="I2011" s="1">
        <v>0</v>
      </c>
      <c r="J2011" s="1">
        <f>467*420.98</f>
        <v>196597.66</v>
      </c>
      <c r="K2011" s="1">
        <v>0</v>
      </c>
      <c r="L2011" s="2">
        <v>0</v>
      </c>
      <c r="M2011" s="1">
        <v>0</v>
      </c>
      <c r="N2011" s="1">
        <v>336</v>
      </c>
      <c r="O2011" s="1">
        <f t="shared" si="1086"/>
        <v>2604000</v>
      </c>
      <c r="P2011" s="1">
        <v>0</v>
      </c>
      <c r="Q2011" s="1">
        <f t="shared" si="1081"/>
        <v>0</v>
      </c>
      <c r="R2011" s="1">
        <v>1002</v>
      </c>
      <c r="S2011" s="1">
        <f t="shared" si="1082"/>
        <v>3758502</v>
      </c>
      <c r="T2011" s="1">
        <v>0</v>
      </c>
      <c r="U2011" s="1">
        <v>50000</v>
      </c>
      <c r="V2011" s="1">
        <v>0</v>
      </c>
      <c r="W2011" s="1">
        <v>50000</v>
      </c>
      <c r="X2011" s="1">
        <v>0</v>
      </c>
      <c r="Y2011" s="1">
        <v>0</v>
      </c>
      <c r="Z2011" s="1">
        <v>0</v>
      </c>
      <c r="AA2011" s="1">
        <v>0</v>
      </c>
      <c r="AB2011" s="1">
        <v>0</v>
      </c>
      <c r="AC2011" s="1">
        <v>0</v>
      </c>
      <c r="AD2011" s="1">
        <v>0</v>
      </c>
    </row>
    <row r="2012" spans="1:30" s="20" customFormat="1" ht="36" customHeight="1" x14ac:dyDescent="0.25">
      <c r="A2012" s="2">
        <f t="shared" si="1078"/>
        <v>1945</v>
      </c>
      <c r="B2012" s="3">
        <f t="shared" si="1079"/>
        <v>1945</v>
      </c>
      <c r="C2012" s="19" t="s">
        <v>1227</v>
      </c>
      <c r="D2012" s="4">
        <f t="shared" si="1077"/>
        <v>9782035.5999999996</v>
      </c>
      <c r="E2012" s="1">
        <f t="shared" si="1080"/>
        <v>2469885.5999999996</v>
      </c>
      <c r="F2012" s="1">
        <f>804*736.4</f>
        <v>592065.6</v>
      </c>
      <c r="G2012" s="1">
        <f>1693*736.4</f>
        <v>1246725.2</v>
      </c>
      <c r="H2012" s="1">
        <f>390*736.4</f>
        <v>287196</v>
      </c>
      <c r="I2012" s="1">
        <v>0</v>
      </c>
      <c r="J2012" s="1">
        <f>467*736.4</f>
        <v>343898.8</v>
      </c>
      <c r="K2012" s="1">
        <v>0</v>
      </c>
      <c r="L2012" s="2">
        <v>0</v>
      </c>
      <c r="M2012" s="1">
        <v>0</v>
      </c>
      <c r="N2012" s="1">
        <v>495</v>
      </c>
      <c r="O2012" s="1">
        <f t="shared" si="1086"/>
        <v>3836250</v>
      </c>
      <c r="P2012" s="1">
        <v>0</v>
      </c>
      <c r="Q2012" s="1">
        <f t="shared" si="1081"/>
        <v>0</v>
      </c>
      <c r="R2012" s="1">
        <v>900</v>
      </c>
      <c r="S2012" s="1">
        <f t="shared" si="1082"/>
        <v>3375900</v>
      </c>
      <c r="T2012" s="1">
        <v>0</v>
      </c>
      <c r="U2012" s="1">
        <v>50000</v>
      </c>
      <c r="V2012" s="1">
        <v>0</v>
      </c>
      <c r="W2012" s="1">
        <v>50000</v>
      </c>
      <c r="X2012" s="1">
        <v>0</v>
      </c>
      <c r="Y2012" s="1">
        <v>0</v>
      </c>
      <c r="Z2012" s="1">
        <v>0</v>
      </c>
      <c r="AA2012" s="1">
        <v>0</v>
      </c>
      <c r="AB2012" s="1">
        <v>0</v>
      </c>
      <c r="AC2012" s="1">
        <v>0</v>
      </c>
      <c r="AD2012" s="1">
        <v>0</v>
      </c>
    </row>
    <row r="2013" spans="1:30" s="20" customFormat="1" ht="36" customHeight="1" x14ac:dyDescent="0.25">
      <c r="A2013" s="2">
        <f t="shared" si="1078"/>
        <v>1946</v>
      </c>
      <c r="B2013" s="3">
        <f t="shared" ref="B2013" si="1087">A2013</f>
        <v>1946</v>
      </c>
      <c r="C2013" s="19" t="s">
        <v>2036</v>
      </c>
      <c r="D2013" s="4">
        <f t="shared" si="1077"/>
        <v>9331854</v>
      </c>
      <c r="E2013" s="1">
        <f t="shared" ref="E2013" si="1088">SUM(F2013:K2013)</f>
        <v>4746895</v>
      </c>
      <c r="F2013" s="1">
        <f>804*1209.4</f>
        <v>972357.60000000009</v>
      </c>
      <c r="G2013" s="1">
        <f>1693*1209.4</f>
        <v>2047514.2000000002</v>
      </c>
      <c r="H2013" s="1">
        <f>390*1209.4</f>
        <v>471666.00000000006</v>
      </c>
      <c r="I2013" s="1">
        <f>571*1209.4</f>
        <v>690567.4</v>
      </c>
      <c r="J2013" s="1">
        <f>467*1209.4</f>
        <v>564789.80000000005</v>
      </c>
      <c r="K2013" s="1">
        <v>0</v>
      </c>
      <c r="L2013" s="2">
        <v>0</v>
      </c>
      <c r="M2013" s="1">
        <v>0</v>
      </c>
      <c r="N2013" s="1">
        <v>0</v>
      </c>
      <c r="O2013" s="1">
        <f t="shared" si="1086"/>
        <v>0</v>
      </c>
      <c r="P2013" s="1">
        <v>0</v>
      </c>
      <c r="Q2013" s="1">
        <f t="shared" ref="Q2013" si="1089">P2013*1400</f>
        <v>0</v>
      </c>
      <c r="R2013" s="1">
        <v>1209</v>
      </c>
      <c r="S2013" s="1">
        <f t="shared" ref="S2013" si="1090">R2013*3751</f>
        <v>4534959</v>
      </c>
      <c r="T2013" s="1">
        <v>0</v>
      </c>
      <c r="U2013" s="1">
        <v>50000</v>
      </c>
      <c r="V2013" s="1">
        <v>0</v>
      </c>
      <c r="W2013" s="1">
        <v>0</v>
      </c>
      <c r="X2013" s="1">
        <v>0</v>
      </c>
      <c r="Y2013" s="1">
        <v>0</v>
      </c>
      <c r="Z2013" s="1">
        <v>0</v>
      </c>
      <c r="AA2013" s="1">
        <v>0</v>
      </c>
      <c r="AB2013" s="1">
        <v>0</v>
      </c>
      <c r="AC2013" s="1">
        <v>0</v>
      </c>
      <c r="AD2013" s="1">
        <v>0</v>
      </c>
    </row>
    <row r="2014" spans="1:30" s="20" customFormat="1" ht="36" customHeight="1" x14ac:dyDescent="0.25">
      <c r="A2014" s="2">
        <f t="shared" si="1078"/>
        <v>1947</v>
      </c>
      <c r="B2014" s="3">
        <f t="shared" si="1079"/>
        <v>1947</v>
      </c>
      <c r="C2014" s="19" t="s">
        <v>1228</v>
      </c>
      <c r="D2014" s="4">
        <f t="shared" si="1077"/>
        <v>8048000</v>
      </c>
      <c r="E2014" s="1">
        <f t="shared" si="1080"/>
        <v>0</v>
      </c>
      <c r="F2014" s="1">
        <v>0</v>
      </c>
      <c r="G2014" s="1">
        <v>0</v>
      </c>
      <c r="H2014" s="1">
        <v>0</v>
      </c>
      <c r="I2014" s="1">
        <v>0</v>
      </c>
      <c r="J2014" s="1">
        <v>0</v>
      </c>
      <c r="K2014" s="1">
        <v>0</v>
      </c>
      <c r="L2014" s="2">
        <v>0</v>
      </c>
      <c r="M2014" s="1">
        <v>0</v>
      </c>
      <c r="N2014" s="1">
        <v>1032</v>
      </c>
      <c r="O2014" s="1">
        <f t="shared" si="1086"/>
        <v>7998000</v>
      </c>
      <c r="P2014" s="1">
        <v>0</v>
      </c>
      <c r="Q2014" s="1">
        <f t="shared" si="1081"/>
        <v>0</v>
      </c>
      <c r="R2014" s="1">
        <v>0</v>
      </c>
      <c r="S2014" s="1">
        <f t="shared" si="1082"/>
        <v>0</v>
      </c>
      <c r="T2014" s="1">
        <v>0</v>
      </c>
      <c r="U2014" s="1">
        <v>0</v>
      </c>
      <c r="V2014" s="1">
        <v>0</v>
      </c>
      <c r="W2014" s="1">
        <v>50000</v>
      </c>
      <c r="X2014" s="1">
        <v>0</v>
      </c>
      <c r="Y2014" s="1">
        <v>0</v>
      </c>
      <c r="Z2014" s="1">
        <v>0</v>
      </c>
      <c r="AA2014" s="1">
        <v>0</v>
      </c>
      <c r="AB2014" s="1">
        <v>0</v>
      </c>
      <c r="AC2014" s="1">
        <v>0</v>
      </c>
      <c r="AD2014" s="1">
        <v>0</v>
      </c>
    </row>
    <row r="2015" spans="1:30" s="20" customFormat="1" ht="36" customHeight="1" x14ac:dyDescent="0.25">
      <c r="A2015" s="2">
        <f t="shared" si="1078"/>
        <v>1948</v>
      </c>
      <c r="B2015" s="3">
        <f t="shared" si="1079"/>
        <v>1948</v>
      </c>
      <c r="C2015" s="19" t="s">
        <v>1229</v>
      </c>
      <c r="D2015" s="4">
        <f t="shared" si="1077"/>
        <v>16339207</v>
      </c>
      <c r="E2015" s="1">
        <f t="shared" si="1080"/>
        <v>3142355.0000000005</v>
      </c>
      <c r="F2015" s="1">
        <f>804*800.6</f>
        <v>643682.4</v>
      </c>
      <c r="G2015" s="1">
        <f>1693*800.6</f>
        <v>1355415.8</v>
      </c>
      <c r="H2015" s="1">
        <f>390*800.6</f>
        <v>312234</v>
      </c>
      <c r="I2015" s="1">
        <f>571*800.6</f>
        <v>457142.60000000003</v>
      </c>
      <c r="J2015" s="1">
        <f>467*800.6</f>
        <v>373880.2</v>
      </c>
      <c r="K2015" s="1">
        <v>0</v>
      </c>
      <c r="L2015" s="2">
        <v>0</v>
      </c>
      <c r="M2015" s="1">
        <v>0</v>
      </c>
      <c r="N2015" s="1">
        <v>800</v>
      </c>
      <c r="O2015" s="1">
        <f t="shared" si="1086"/>
        <v>6200000</v>
      </c>
      <c r="P2015" s="1">
        <v>0</v>
      </c>
      <c r="Q2015" s="1">
        <f t="shared" si="1081"/>
        <v>0</v>
      </c>
      <c r="R2015" s="1">
        <v>1852</v>
      </c>
      <c r="S2015" s="1">
        <f t="shared" si="1082"/>
        <v>6946852</v>
      </c>
      <c r="T2015" s="1">
        <v>0</v>
      </c>
      <c r="U2015" s="1">
        <v>50000</v>
      </c>
      <c r="V2015" s="1">
        <v>0</v>
      </c>
      <c r="W2015" s="1">
        <v>0</v>
      </c>
      <c r="X2015" s="1">
        <v>0</v>
      </c>
      <c r="Y2015" s="1">
        <v>0</v>
      </c>
      <c r="Z2015" s="1">
        <v>0</v>
      </c>
      <c r="AA2015" s="1">
        <v>0</v>
      </c>
      <c r="AB2015" s="1">
        <v>0</v>
      </c>
      <c r="AC2015" s="1">
        <v>0</v>
      </c>
      <c r="AD2015" s="1">
        <v>0</v>
      </c>
    </row>
    <row r="2016" spans="1:30" s="20" customFormat="1" ht="36" customHeight="1" x14ac:dyDescent="0.25">
      <c r="A2016" s="2">
        <f t="shared" si="1078"/>
        <v>1949</v>
      </c>
      <c r="B2016" s="3">
        <f t="shared" si="1079"/>
        <v>1949</v>
      </c>
      <c r="C2016" s="19" t="s">
        <v>1230</v>
      </c>
      <c r="D2016" s="4">
        <f t="shared" si="1077"/>
        <v>7977131</v>
      </c>
      <c r="E2016" s="1">
        <f t="shared" si="1080"/>
        <v>2099875</v>
      </c>
      <c r="F2016" s="1">
        <f>804*535</f>
        <v>430140</v>
      </c>
      <c r="G2016" s="1">
        <f>1693*535</f>
        <v>905755</v>
      </c>
      <c r="H2016" s="1">
        <f>390*535</f>
        <v>208650</v>
      </c>
      <c r="I2016" s="1">
        <f>571*535</f>
        <v>305485</v>
      </c>
      <c r="J2016" s="1">
        <f>467*535</f>
        <v>249845</v>
      </c>
      <c r="K2016" s="1">
        <v>0</v>
      </c>
      <c r="L2016" s="2">
        <v>0</v>
      </c>
      <c r="M2016" s="1">
        <v>0</v>
      </c>
      <c r="N2016" s="1">
        <v>386</v>
      </c>
      <c r="O2016" s="1">
        <f t="shared" si="1086"/>
        <v>2991500</v>
      </c>
      <c r="P2016" s="1">
        <v>0</v>
      </c>
      <c r="Q2016" s="1">
        <f t="shared" si="1081"/>
        <v>0</v>
      </c>
      <c r="R2016" s="1">
        <v>756</v>
      </c>
      <c r="S2016" s="1">
        <f t="shared" si="1082"/>
        <v>2835756</v>
      </c>
      <c r="T2016" s="1">
        <v>0</v>
      </c>
      <c r="U2016" s="1">
        <v>0</v>
      </c>
      <c r="V2016" s="1">
        <v>0</v>
      </c>
      <c r="W2016" s="1">
        <v>50000</v>
      </c>
      <c r="X2016" s="1">
        <v>0</v>
      </c>
      <c r="Y2016" s="1">
        <v>0</v>
      </c>
      <c r="Z2016" s="1">
        <v>0</v>
      </c>
      <c r="AA2016" s="1">
        <v>0</v>
      </c>
      <c r="AB2016" s="1">
        <v>0</v>
      </c>
      <c r="AC2016" s="1">
        <v>0</v>
      </c>
      <c r="AD2016" s="1">
        <v>0</v>
      </c>
    </row>
    <row r="2017" spans="1:30" s="20" customFormat="1" ht="36" customHeight="1" x14ac:dyDescent="0.25">
      <c r="A2017" s="2">
        <f t="shared" si="1078"/>
        <v>1950</v>
      </c>
      <c r="B2017" s="3">
        <f t="shared" ref="B2017" si="1091">A2017</f>
        <v>1950</v>
      </c>
      <c r="C2017" s="19" t="s">
        <v>2037</v>
      </c>
      <c r="D2017" s="4">
        <f t="shared" si="1077"/>
        <v>6517784</v>
      </c>
      <c r="E2017" s="1">
        <f t="shared" ref="E2017" si="1092">SUM(F2017:K2017)</f>
        <v>1966584</v>
      </c>
      <c r="F2017" s="1">
        <f>804*2446</f>
        <v>1966584</v>
      </c>
      <c r="G2017" s="1">
        <v>0</v>
      </c>
      <c r="H2017" s="1">
        <v>0</v>
      </c>
      <c r="I2017" s="1">
        <v>0</v>
      </c>
      <c r="J2017" s="1">
        <v>0</v>
      </c>
      <c r="K2017" s="1">
        <v>0</v>
      </c>
      <c r="L2017" s="2">
        <v>0</v>
      </c>
      <c r="M2017" s="1">
        <v>0</v>
      </c>
      <c r="N2017" s="1">
        <v>0</v>
      </c>
      <c r="O2017" s="1">
        <v>0</v>
      </c>
      <c r="P2017" s="1">
        <v>0</v>
      </c>
      <c r="Q2017" s="1">
        <f t="shared" ref="Q2017" si="1093">P2017*1400</f>
        <v>0</v>
      </c>
      <c r="R2017" s="1">
        <v>1200</v>
      </c>
      <c r="S2017" s="1">
        <f t="shared" ref="S2017" si="1094">R2017*3751</f>
        <v>4501200</v>
      </c>
      <c r="T2017" s="1">
        <v>0</v>
      </c>
      <c r="U2017" s="1">
        <v>50000</v>
      </c>
      <c r="V2017" s="1">
        <v>0</v>
      </c>
      <c r="W2017" s="1">
        <v>0</v>
      </c>
      <c r="X2017" s="1">
        <v>0</v>
      </c>
      <c r="Y2017" s="1">
        <v>0</v>
      </c>
      <c r="Z2017" s="1">
        <v>0</v>
      </c>
      <c r="AA2017" s="1">
        <v>0</v>
      </c>
      <c r="AB2017" s="1">
        <v>0</v>
      </c>
      <c r="AC2017" s="1">
        <v>0</v>
      </c>
      <c r="AD2017" s="1">
        <v>0</v>
      </c>
    </row>
    <row r="2018" spans="1:30" s="20" customFormat="1" ht="36" customHeight="1" x14ac:dyDescent="0.25">
      <c r="A2018" s="2">
        <f t="shared" si="1078"/>
        <v>1951</v>
      </c>
      <c r="B2018" s="3">
        <f>A2018</f>
        <v>1951</v>
      </c>
      <c r="C2018" s="19" t="s">
        <v>1231</v>
      </c>
      <c r="D2018" s="4">
        <f t="shared" si="1077"/>
        <v>98155568.400000006</v>
      </c>
      <c r="E2018" s="1">
        <f t="shared" si="1080"/>
        <v>6773738.3999999994</v>
      </c>
      <c r="F2018" s="1">
        <f>804*2019.6</f>
        <v>1623758.4</v>
      </c>
      <c r="G2018" s="1">
        <f>1693*2019.6</f>
        <v>3419182.8</v>
      </c>
      <c r="H2018" s="1">
        <f>390*2019.6</f>
        <v>787644</v>
      </c>
      <c r="I2018" s="1">
        <v>0</v>
      </c>
      <c r="J2018" s="1">
        <f>467*2019.6</f>
        <v>943153.2</v>
      </c>
      <c r="K2018" s="1">
        <v>0</v>
      </c>
      <c r="L2018" s="2">
        <v>0</v>
      </c>
      <c r="M2018" s="1">
        <v>0</v>
      </c>
      <c r="N2018" s="1">
        <v>0</v>
      </c>
      <c r="O2018" s="1">
        <v>0</v>
      </c>
      <c r="P2018" s="1">
        <v>50</v>
      </c>
      <c r="Q2018" s="1">
        <f t="shared" si="1081"/>
        <v>70000</v>
      </c>
      <c r="R2018" s="1">
        <v>24330</v>
      </c>
      <c r="S2018" s="1">
        <f t="shared" si="1082"/>
        <v>91261830</v>
      </c>
      <c r="T2018" s="1">
        <v>0</v>
      </c>
      <c r="U2018" s="1">
        <v>0</v>
      </c>
      <c r="V2018" s="1">
        <v>0</v>
      </c>
      <c r="W2018" s="1">
        <v>50000</v>
      </c>
      <c r="X2018" s="1">
        <v>0</v>
      </c>
      <c r="Y2018" s="1">
        <v>0</v>
      </c>
      <c r="Z2018" s="1">
        <v>0</v>
      </c>
      <c r="AA2018" s="1">
        <v>0</v>
      </c>
      <c r="AB2018" s="1">
        <v>0</v>
      </c>
      <c r="AC2018" s="1">
        <v>0</v>
      </c>
      <c r="AD2018" s="1">
        <v>0</v>
      </c>
    </row>
    <row r="2019" spans="1:30" s="20" customFormat="1" ht="36" customHeight="1" x14ac:dyDescent="0.25">
      <c r="A2019" s="2">
        <f t="shared" si="1078"/>
        <v>1952</v>
      </c>
      <c r="B2019" s="3">
        <f t="shared" si="1079"/>
        <v>1952</v>
      </c>
      <c r="C2019" s="19" t="s">
        <v>1232</v>
      </c>
      <c r="D2019" s="4">
        <f t="shared" si="1077"/>
        <v>32950808</v>
      </c>
      <c r="E2019" s="1">
        <f t="shared" si="1080"/>
        <v>12180845.000000002</v>
      </c>
      <c r="F2019" s="1">
        <f>804*3103.4</f>
        <v>2495133.6</v>
      </c>
      <c r="G2019" s="1">
        <f>1693*3103.4</f>
        <v>5254056.2</v>
      </c>
      <c r="H2019" s="1">
        <f>390*3103.4</f>
        <v>1210326</v>
      </c>
      <c r="I2019" s="1">
        <f>571*3103.4</f>
        <v>1772041.4000000001</v>
      </c>
      <c r="J2019" s="1">
        <f>467*3103.4</f>
        <v>1449287.8</v>
      </c>
      <c r="K2019" s="1">
        <v>0</v>
      </c>
      <c r="L2019" s="2">
        <v>0</v>
      </c>
      <c r="M2019" s="1">
        <v>0</v>
      </c>
      <c r="N2019" s="1">
        <v>1717</v>
      </c>
      <c r="O2019" s="1">
        <f>N2019*7750</f>
        <v>13306750</v>
      </c>
      <c r="P2019" s="1">
        <v>0</v>
      </c>
      <c r="Q2019" s="1">
        <f t="shared" si="1081"/>
        <v>0</v>
      </c>
      <c r="R2019" s="1">
        <v>1963</v>
      </c>
      <c r="S2019" s="1">
        <f t="shared" si="1082"/>
        <v>7363213</v>
      </c>
      <c r="T2019" s="1">
        <v>0</v>
      </c>
      <c r="U2019" s="1">
        <v>50000</v>
      </c>
      <c r="V2019" s="1">
        <v>0</v>
      </c>
      <c r="W2019" s="1">
        <v>50000</v>
      </c>
      <c r="X2019" s="1">
        <v>0</v>
      </c>
      <c r="Y2019" s="1">
        <v>0</v>
      </c>
      <c r="Z2019" s="1">
        <v>0</v>
      </c>
      <c r="AA2019" s="1">
        <v>0</v>
      </c>
      <c r="AB2019" s="1">
        <v>0</v>
      </c>
      <c r="AC2019" s="1">
        <v>0</v>
      </c>
      <c r="AD2019" s="1">
        <v>0</v>
      </c>
    </row>
    <row r="2020" spans="1:30" s="20" customFormat="1" ht="36" customHeight="1" x14ac:dyDescent="0.25">
      <c r="A2020" s="2">
        <f t="shared" si="1078"/>
        <v>1953</v>
      </c>
      <c r="B2020" s="3">
        <f t="shared" si="1079"/>
        <v>1953</v>
      </c>
      <c r="C2020" s="19" t="s">
        <v>1233</v>
      </c>
      <c r="D2020" s="4">
        <f t="shared" si="1077"/>
        <v>14623425</v>
      </c>
      <c r="E2020" s="1">
        <f t="shared" si="1080"/>
        <v>6017025</v>
      </c>
      <c r="F2020" s="1">
        <f>804*1533</f>
        <v>1232532</v>
      </c>
      <c r="G2020" s="1">
        <f>1693*1533</f>
        <v>2595369</v>
      </c>
      <c r="H2020" s="1">
        <f>390*1533</f>
        <v>597870</v>
      </c>
      <c r="I2020" s="1">
        <f>571*1533</f>
        <v>875343</v>
      </c>
      <c r="J2020" s="1">
        <f>467*1533</f>
        <v>715911</v>
      </c>
      <c r="K2020" s="1">
        <v>0</v>
      </c>
      <c r="L2020" s="2">
        <v>0</v>
      </c>
      <c r="M2020" s="1">
        <v>0</v>
      </c>
      <c r="N2020" s="1">
        <v>662</v>
      </c>
      <c r="O2020" s="1">
        <f>N2020*7750</f>
        <v>5130500</v>
      </c>
      <c r="P2020" s="1">
        <v>0</v>
      </c>
      <c r="Q2020" s="1">
        <f t="shared" si="1081"/>
        <v>0</v>
      </c>
      <c r="R2020" s="1">
        <v>900</v>
      </c>
      <c r="S2020" s="1">
        <f t="shared" si="1082"/>
        <v>3375900</v>
      </c>
      <c r="T2020" s="1">
        <v>0</v>
      </c>
      <c r="U2020" s="1">
        <v>50000</v>
      </c>
      <c r="V2020" s="1">
        <v>0</v>
      </c>
      <c r="W2020" s="1">
        <v>50000</v>
      </c>
      <c r="X2020" s="1">
        <v>0</v>
      </c>
      <c r="Y2020" s="1">
        <v>0</v>
      </c>
      <c r="Z2020" s="1">
        <v>0</v>
      </c>
      <c r="AA2020" s="1">
        <v>0</v>
      </c>
      <c r="AB2020" s="1">
        <v>0</v>
      </c>
      <c r="AC2020" s="1">
        <v>0</v>
      </c>
      <c r="AD2020" s="1">
        <v>0</v>
      </c>
    </row>
    <row r="2021" spans="1:30" s="20" customFormat="1" ht="36" customHeight="1" x14ac:dyDescent="0.25">
      <c r="A2021" s="2">
        <f t="shared" si="1078"/>
        <v>1954</v>
      </c>
      <c r="B2021" s="3">
        <f t="shared" si="1079"/>
        <v>1954</v>
      </c>
      <c r="C2021" s="19" t="s">
        <v>2038</v>
      </c>
      <c r="D2021" s="4">
        <f t="shared" si="1077"/>
        <v>4888684</v>
      </c>
      <c r="E2021" s="1">
        <f t="shared" si="1080"/>
        <v>3233256</v>
      </c>
      <c r="F2021" s="1">
        <f>804*964</f>
        <v>775056</v>
      </c>
      <c r="G2021" s="1">
        <f>1693*964</f>
        <v>1632052</v>
      </c>
      <c r="H2021" s="1">
        <f>390*964</f>
        <v>375960</v>
      </c>
      <c r="I2021" s="1">
        <v>0</v>
      </c>
      <c r="J2021" s="1">
        <f>467*964</f>
        <v>450188</v>
      </c>
      <c r="K2021" s="1">
        <v>0</v>
      </c>
      <c r="L2021" s="2">
        <v>0</v>
      </c>
      <c r="M2021" s="1">
        <v>0</v>
      </c>
      <c r="N2021" s="1">
        <v>0</v>
      </c>
      <c r="O2021" s="1">
        <v>0</v>
      </c>
      <c r="P2021" s="1">
        <v>0</v>
      </c>
      <c r="Q2021" s="1">
        <f t="shared" si="1081"/>
        <v>0</v>
      </c>
      <c r="R2021" s="1">
        <v>428</v>
      </c>
      <c r="S2021" s="1">
        <f t="shared" si="1082"/>
        <v>1605428</v>
      </c>
      <c r="T2021" s="1">
        <v>0</v>
      </c>
      <c r="U2021" s="1">
        <v>50000</v>
      </c>
      <c r="V2021" s="1">
        <v>0</v>
      </c>
      <c r="W2021" s="1">
        <v>0</v>
      </c>
      <c r="X2021" s="1">
        <v>0</v>
      </c>
      <c r="Y2021" s="1">
        <v>0</v>
      </c>
      <c r="Z2021" s="1">
        <v>0</v>
      </c>
      <c r="AA2021" s="1">
        <v>0</v>
      </c>
      <c r="AB2021" s="1">
        <v>0</v>
      </c>
      <c r="AC2021" s="1">
        <v>0</v>
      </c>
      <c r="AD2021" s="1">
        <v>0</v>
      </c>
    </row>
    <row r="2022" spans="1:30" s="20" customFormat="1" ht="36" customHeight="1" x14ac:dyDescent="0.25">
      <c r="A2022" s="2">
        <f t="shared" si="1078"/>
        <v>1955</v>
      </c>
      <c r="B2022" s="3">
        <f t="shared" si="1079"/>
        <v>1955</v>
      </c>
      <c r="C2022" s="19" t="s">
        <v>1234</v>
      </c>
      <c r="D2022" s="4">
        <f t="shared" si="1077"/>
        <v>39499812.5</v>
      </c>
      <c r="E2022" s="1">
        <f t="shared" si="1080"/>
        <v>13747312.5</v>
      </c>
      <c r="F2022" s="1">
        <f>804*3502.5</f>
        <v>2816010</v>
      </c>
      <c r="G2022" s="1">
        <f>1693*3502.5</f>
        <v>5929732.5</v>
      </c>
      <c r="H2022" s="1">
        <f>390*3502.5</f>
        <v>1365975</v>
      </c>
      <c r="I2022" s="1">
        <f>571*3502.5</f>
        <v>1999927.5</v>
      </c>
      <c r="J2022" s="1">
        <f>467*3502.5</f>
        <v>1635667.5</v>
      </c>
      <c r="K2022" s="1">
        <v>0</v>
      </c>
      <c r="L2022" s="2">
        <v>0</v>
      </c>
      <c r="M2022" s="1">
        <v>0</v>
      </c>
      <c r="N2022" s="1">
        <v>2100</v>
      </c>
      <c r="O2022" s="1">
        <f>N2022*7750</f>
        <v>16275000</v>
      </c>
      <c r="P2022" s="1">
        <v>0</v>
      </c>
      <c r="Q2022" s="1">
        <f t="shared" si="1081"/>
        <v>0</v>
      </c>
      <c r="R2022" s="1">
        <v>2500</v>
      </c>
      <c r="S2022" s="1">
        <f t="shared" si="1082"/>
        <v>9377500</v>
      </c>
      <c r="T2022" s="1">
        <v>0</v>
      </c>
      <c r="U2022" s="1">
        <v>50000</v>
      </c>
      <c r="V2022" s="1">
        <v>0</v>
      </c>
      <c r="W2022" s="1">
        <v>50000</v>
      </c>
      <c r="X2022" s="1">
        <v>0</v>
      </c>
      <c r="Y2022" s="1">
        <v>0</v>
      </c>
      <c r="Z2022" s="1">
        <v>0</v>
      </c>
      <c r="AA2022" s="1">
        <v>0</v>
      </c>
      <c r="AB2022" s="1">
        <v>0</v>
      </c>
      <c r="AC2022" s="1">
        <v>0</v>
      </c>
      <c r="AD2022" s="1">
        <v>0</v>
      </c>
    </row>
    <row r="2023" spans="1:30" s="20" customFormat="1" ht="36" customHeight="1" x14ac:dyDescent="0.25">
      <c r="A2023" s="2">
        <f t="shared" si="1078"/>
        <v>1956</v>
      </c>
      <c r="B2023" s="3">
        <f t="shared" si="1079"/>
        <v>1956</v>
      </c>
      <c r="C2023" s="19" t="s">
        <v>1235</v>
      </c>
      <c r="D2023" s="4">
        <f t="shared" si="1077"/>
        <v>38205670</v>
      </c>
      <c r="E2023" s="1">
        <f t="shared" si="1080"/>
        <v>14808240.000000002</v>
      </c>
      <c r="F2023" s="1">
        <f>804*3772.8</f>
        <v>3033331.2</v>
      </c>
      <c r="G2023" s="1">
        <f>1693*3772.8</f>
        <v>6387350.4000000004</v>
      </c>
      <c r="H2023" s="1">
        <f>390*3772.8</f>
        <v>1471392</v>
      </c>
      <c r="I2023" s="1">
        <f>571*3772.8</f>
        <v>2154268.8000000003</v>
      </c>
      <c r="J2023" s="1">
        <f>467*3772.8</f>
        <v>1761897.6</v>
      </c>
      <c r="K2023" s="1">
        <v>0</v>
      </c>
      <c r="L2023" s="2">
        <v>0</v>
      </c>
      <c r="M2023" s="1">
        <v>0</v>
      </c>
      <c r="N2023" s="1">
        <v>1830</v>
      </c>
      <c r="O2023" s="1">
        <f>N2023*7750</f>
        <v>14182500</v>
      </c>
      <c r="P2023" s="1">
        <v>0</v>
      </c>
      <c r="Q2023" s="1">
        <f t="shared" si="1081"/>
        <v>0</v>
      </c>
      <c r="R2023" s="1">
        <v>2430</v>
      </c>
      <c r="S2023" s="1">
        <f t="shared" si="1082"/>
        <v>9114930</v>
      </c>
      <c r="T2023" s="1">
        <v>0</v>
      </c>
      <c r="U2023" s="1">
        <v>50000</v>
      </c>
      <c r="V2023" s="1">
        <v>0</v>
      </c>
      <c r="W2023" s="1">
        <v>50000</v>
      </c>
      <c r="X2023" s="1">
        <v>0</v>
      </c>
      <c r="Y2023" s="1">
        <v>0</v>
      </c>
      <c r="Z2023" s="1">
        <v>0</v>
      </c>
      <c r="AA2023" s="1">
        <v>0</v>
      </c>
      <c r="AB2023" s="1">
        <v>0</v>
      </c>
      <c r="AC2023" s="1">
        <v>0</v>
      </c>
      <c r="AD2023" s="1">
        <v>0</v>
      </c>
    </row>
    <row r="2024" spans="1:30" s="20" customFormat="1" ht="36" customHeight="1" x14ac:dyDescent="0.25">
      <c r="A2024" s="2">
        <f t="shared" si="1078"/>
        <v>1957</v>
      </c>
      <c r="B2024" s="3">
        <f t="shared" si="1079"/>
        <v>1957</v>
      </c>
      <c r="C2024" s="19" t="s">
        <v>1236</v>
      </c>
      <c r="D2024" s="4">
        <f t="shared" si="1077"/>
        <v>10764144.9</v>
      </c>
      <c r="E2024" s="1">
        <f t="shared" si="1080"/>
        <v>10664144.9</v>
      </c>
      <c r="F2024" s="1">
        <v>0</v>
      </c>
      <c r="G2024" s="1">
        <f>1693*3416.9</f>
        <v>5784811.7000000002</v>
      </c>
      <c r="H2024" s="1">
        <f>390*3416.9</f>
        <v>1332591</v>
      </c>
      <c r="I2024" s="1">
        <f>571*3416.9</f>
        <v>1951049.9000000001</v>
      </c>
      <c r="J2024" s="1">
        <f>467*3416.9</f>
        <v>1595692.3</v>
      </c>
      <c r="K2024" s="1">
        <v>0</v>
      </c>
      <c r="L2024" s="2">
        <v>0</v>
      </c>
      <c r="M2024" s="1">
        <v>0</v>
      </c>
      <c r="N2024" s="1">
        <v>0</v>
      </c>
      <c r="O2024" s="1">
        <v>0</v>
      </c>
      <c r="P2024" s="1">
        <v>0</v>
      </c>
      <c r="Q2024" s="1">
        <f t="shared" si="1081"/>
        <v>0</v>
      </c>
      <c r="R2024" s="1">
        <v>0</v>
      </c>
      <c r="S2024" s="1">
        <f t="shared" si="1082"/>
        <v>0</v>
      </c>
      <c r="T2024" s="1">
        <v>0</v>
      </c>
      <c r="U2024" s="1">
        <v>50000</v>
      </c>
      <c r="V2024" s="1">
        <v>0</v>
      </c>
      <c r="W2024" s="1">
        <v>50000</v>
      </c>
      <c r="X2024" s="1">
        <v>0</v>
      </c>
      <c r="Y2024" s="1">
        <v>0</v>
      </c>
      <c r="Z2024" s="1">
        <v>0</v>
      </c>
      <c r="AA2024" s="1">
        <v>0</v>
      </c>
      <c r="AB2024" s="1">
        <v>0</v>
      </c>
      <c r="AC2024" s="1">
        <v>0</v>
      </c>
      <c r="AD2024" s="1">
        <v>0</v>
      </c>
    </row>
    <row r="2025" spans="1:30" s="20" customFormat="1" ht="36" customHeight="1" x14ac:dyDescent="0.25">
      <c r="A2025" s="2">
        <f t="shared" si="1078"/>
        <v>1958</v>
      </c>
      <c r="B2025" s="3">
        <f t="shared" si="1079"/>
        <v>1958</v>
      </c>
      <c r="C2025" s="19" t="s">
        <v>1237</v>
      </c>
      <c r="D2025" s="4">
        <f t="shared" si="1077"/>
        <v>5738886.2000000002</v>
      </c>
      <c r="E2025" s="1">
        <f t="shared" si="1080"/>
        <v>958506.20000000007</v>
      </c>
      <c r="F2025" s="1">
        <f>804*570.2</f>
        <v>458440.80000000005</v>
      </c>
      <c r="G2025" s="1">
        <v>0</v>
      </c>
      <c r="H2025" s="1">
        <f>390*570.2</f>
        <v>222378.00000000003</v>
      </c>
      <c r="I2025" s="1">
        <v>0</v>
      </c>
      <c r="J2025" s="1">
        <f>487*570.2</f>
        <v>277687.40000000002</v>
      </c>
      <c r="K2025" s="1">
        <v>0</v>
      </c>
      <c r="L2025" s="2">
        <v>0</v>
      </c>
      <c r="M2025" s="1">
        <v>0</v>
      </c>
      <c r="N2025" s="1">
        <v>420</v>
      </c>
      <c r="O2025" s="1">
        <f>N2025*7750</f>
        <v>3255000</v>
      </c>
      <c r="P2025" s="1">
        <v>0</v>
      </c>
      <c r="Q2025" s="1">
        <f t="shared" si="1081"/>
        <v>0</v>
      </c>
      <c r="R2025" s="1">
        <v>380</v>
      </c>
      <c r="S2025" s="1">
        <f t="shared" si="1082"/>
        <v>1425380</v>
      </c>
      <c r="T2025" s="1">
        <v>0</v>
      </c>
      <c r="U2025" s="1">
        <v>50000</v>
      </c>
      <c r="V2025" s="1">
        <v>0</v>
      </c>
      <c r="W2025" s="1">
        <v>50000</v>
      </c>
      <c r="X2025" s="1">
        <v>0</v>
      </c>
      <c r="Y2025" s="1">
        <v>0</v>
      </c>
      <c r="Z2025" s="1">
        <v>0</v>
      </c>
      <c r="AA2025" s="1">
        <v>0</v>
      </c>
      <c r="AB2025" s="1">
        <v>0</v>
      </c>
      <c r="AC2025" s="1">
        <v>0</v>
      </c>
      <c r="AD2025" s="1">
        <v>0</v>
      </c>
    </row>
    <row r="2026" spans="1:30" s="20" customFormat="1" ht="36" customHeight="1" x14ac:dyDescent="0.25">
      <c r="A2026" s="2">
        <f t="shared" si="1078"/>
        <v>1959</v>
      </c>
      <c r="B2026" s="3">
        <f t="shared" si="1079"/>
        <v>1959</v>
      </c>
      <c r="C2026" s="19" t="s">
        <v>1238</v>
      </c>
      <c r="D2026" s="4">
        <f t="shared" si="1077"/>
        <v>5328536.4000000004</v>
      </c>
      <c r="E2026" s="1">
        <f t="shared" si="1080"/>
        <v>780656.39999999991</v>
      </c>
      <c r="F2026" s="1">
        <f>804*464.4</f>
        <v>373377.6</v>
      </c>
      <c r="G2026" s="1">
        <v>0</v>
      </c>
      <c r="H2026" s="1">
        <f>390*464.4</f>
        <v>181116</v>
      </c>
      <c r="I2026" s="1">
        <v>0</v>
      </c>
      <c r="J2026" s="1">
        <f>487*464.4</f>
        <v>226162.8</v>
      </c>
      <c r="K2026" s="1">
        <v>0</v>
      </c>
      <c r="L2026" s="2">
        <v>0</v>
      </c>
      <c r="M2026" s="1">
        <v>0</v>
      </c>
      <c r="N2026" s="1">
        <v>390</v>
      </c>
      <c r="O2026" s="1">
        <f>N2026*7750</f>
        <v>3022500</v>
      </c>
      <c r="P2026" s="1">
        <v>0</v>
      </c>
      <c r="Q2026" s="1">
        <f t="shared" si="1081"/>
        <v>0</v>
      </c>
      <c r="R2026" s="1">
        <v>380</v>
      </c>
      <c r="S2026" s="1">
        <f t="shared" si="1082"/>
        <v>1425380</v>
      </c>
      <c r="T2026" s="1">
        <v>0</v>
      </c>
      <c r="U2026" s="1">
        <v>50000</v>
      </c>
      <c r="V2026" s="1">
        <v>0</v>
      </c>
      <c r="W2026" s="1">
        <v>50000</v>
      </c>
      <c r="X2026" s="1">
        <v>0</v>
      </c>
      <c r="Y2026" s="1">
        <v>0</v>
      </c>
      <c r="Z2026" s="1">
        <v>0</v>
      </c>
      <c r="AA2026" s="1">
        <v>0</v>
      </c>
      <c r="AB2026" s="1">
        <v>0</v>
      </c>
      <c r="AC2026" s="1">
        <v>0</v>
      </c>
      <c r="AD2026" s="1">
        <v>0</v>
      </c>
    </row>
    <row r="2027" spans="1:30" s="20" customFormat="1" ht="36" customHeight="1" x14ac:dyDescent="0.25">
      <c r="A2027" s="2">
        <f t="shared" si="1078"/>
        <v>1960</v>
      </c>
      <c r="B2027" s="3">
        <f t="shared" si="1079"/>
        <v>1960</v>
      </c>
      <c r="C2027" s="19" t="s">
        <v>1239</v>
      </c>
      <c r="D2027" s="4">
        <f t="shared" si="1077"/>
        <v>2370600</v>
      </c>
      <c r="E2027" s="1">
        <f t="shared" si="1080"/>
        <v>0</v>
      </c>
      <c r="F2027" s="1">
        <v>0</v>
      </c>
      <c r="G2027" s="1">
        <v>0</v>
      </c>
      <c r="H2027" s="1">
        <v>0</v>
      </c>
      <c r="I2027" s="1">
        <v>0</v>
      </c>
      <c r="J2027" s="1">
        <v>0</v>
      </c>
      <c r="K2027" s="1">
        <v>0</v>
      </c>
      <c r="L2027" s="2">
        <v>0</v>
      </c>
      <c r="M2027" s="1">
        <v>0</v>
      </c>
      <c r="N2027" s="1">
        <v>0</v>
      </c>
      <c r="O2027" s="1">
        <v>0</v>
      </c>
      <c r="P2027" s="1">
        <v>50</v>
      </c>
      <c r="Q2027" s="1">
        <f t="shared" si="1081"/>
        <v>70000</v>
      </c>
      <c r="R2027" s="1">
        <v>600</v>
      </c>
      <c r="S2027" s="1">
        <f t="shared" si="1082"/>
        <v>2250600</v>
      </c>
      <c r="T2027" s="1">
        <v>0</v>
      </c>
      <c r="U2027" s="1">
        <v>0</v>
      </c>
      <c r="V2027" s="1">
        <v>0</v>
      </c>
      <c r="W2027" s="1">
        <v>50000</v>
      </c>
      <c r="X2027" s="1">
        <v>0</v>
      </c>
      <c r="Y2027" s="1">
        <v>0</v>
      </c>
      <c r="Z2027" s="1">
        <v>0</v>
      </c>
      <c r="AA2027" s="1">
        <v>0</v>
      </c>
      <c r="AB2027" s="1">
        <v>0</v>
      </c>
      <c r="AC2027" s="1">
        <v>0</v>
      </c>
      <c r="AD2027" s="1">
        <v>0</v>
      </c>
    </row>
    <row r="2028" spans="1:30" s="20" customFormat="1" ht="36" customHeight="1" x14ac:dyDescent="0.25">
      <c r="A2028" s="2">
        <f t="shared" si="1078"/>
        <v>1961</v>
      </c>
      <c r="B2028" s="3">
        <f t="shared" si="1079"/>
        <v>1961</v>
      </c>
      <c r="C2028" s="19" t="s">
        <v>1240</v>
      </c>
      <c r="D2028" s="4">
        <f t="shared" si="1077"/>
        <v>713799.2</v>
      </c>
      <c r="E2028" s="1">
        <f t="shared" si="1080"/>
        <v>393799.2</v>
      </c>
      <c r="F2028" s="1">
        <f>804*489.8</f>
        <v>393799.2</v>
      </c>
      <c r="G2028" s="1">
        <v>0</v>
      </c>
      <c r="H2028" s="1">
        <v>0</v>
      </c>
      <c r="I2028" s="1">
        <v>0</v>
      </c>
      <c r="J2028" s="1">
        <v>0</v>
      </c>
      <c r="K2028" s="1">
        <v>0</v>
      </c>
      <c r="L2028" s="2">
        <v>0</v>
      </c>
      <c r="M2028" s="1">
        <v>0</v>
      </c>
      <c r="N2028" s="1">
        <v>0</v>
      </c>
      <c r="O2028" s="1">
        <v>0</v>
      </c>
      <c r="P2028" s="1">
        <v>50</v>
      </c>
      <c r="Q2028" s="1">
        <f t="shared" si="1081"/>
        <v>70000</v>
      </c>
      <c r="R2028" s="1">
        <v>0</v>
      </c>
      <c r="S2028" s="1">
        <f t="shared" si="1082"/>
        <v>0</v>
      </c>
      <c r="T2028" s="1">
        <v>150000</v>
      </c>
      <c r="U2028" s="1">
        <v>50000</v>
      </c>
      <c r="V2028" s="1">
        <v>0</v>
      </c>
      <c r="W2028" s="1">
        <v>50000</v>
      </c>
      <c r="X2028" s="1">
        <v>0</v>
      </c>
      <c r="Y2028" s="1">
        <v>0</v>
      </c>
      <c r="Z2028" s="1">
        <v>0</v>
      </c>
      <c r="AA2028" s="1">
        <v>0</v>
      </c>
      <c r="AB2028" s="1">
        <v>0</v>
      </c>
      <c r="AC2028" s="1">
        <v>0</v>
      </c>
      <c r="AD2028" s="1">
        <v>0</v>
      </c>
    </row>
    <row r="2029" spans="1:30" s="20" customFormat="1" ht="36" customHeight="1" x14ac:dyDescent="0.25">
      <c r="A2029" s="2">
        <f t="shared" si="1078"/>
        <v>1962</v>
      </c>
      <c r="B2029" s="3">
        <f t="shared" si="1079"/>
        <v>1962</v>
      </c>
      <c r="C2029" s="19" t="s">
        <v>1241</v>
      </c>
      <c r="D2029" s="4">
        <f t="shared" si="1077"/>
        <v>4490062</v>
      </c>
      <c r="E2029" s="1">
        <f t="shared" si="1080"/>
        <v>372252</v>
      </c>
      <c r="F2029" s="1">
        <f>804*463</f>
        <v>372252</v>
      </c>
      <c r="G2029" s="1">
        <v>0</v>
      </c>
      <c r="H2029" s="1">
        <v>0</v>
      </c>
      <c r="I2029" s="1">
        <v>0</v>
      </c>
      <c r="J2029" s="1">
        <v>0</v>
      </c>
      <c r="K2029" s="1">
        <v>0</v>
      </c>
      <c r="L2029" s="2">
        <v>0</v>
      </c>
      <c r="M2029" s="1">
        <v>0</v>
      </c>
      <c r="N2029" s="1">
        <v>340</v>
      </c>
      <c r="O2029" s="1">
        <f t="shared" ref="O2029:O2036" si="1095">N2029*7750</f>
        <v>2635000</v>
      </c>
      <c r="P2029" s="1">
        <v>50</v>
      </c>
      <c r="Q2029" s="1">
        <f t="shared" si="1081"/>
        <v>70000</v>
      </c>
      <c r="R2029" s="1">
        <v>310</v>
      </c>
      <c r="S2029" s="1">
        <f t="shared" si="1082"/>
        <v>1162810</v>
      </c>
      <c r="T2029" s="1">
        <v>150000</v>
      </c>
      <c r="U2029" s="1">
        <v>50000</v>
      </c>
      <c r="V2029" s="1">
        <v>0</v>
      </c>
      <c r="W2029" s="1">
        <v>50000</v>
      </c>
      <c r="X2029" s="1">
        <v>0</v>
      </c>
      <c r="Y2029" s="1">
        <v>0</v>
      </c>
      <c r="Z2029" s="1">
        <v>0</v>
      </c>
      <c r="AA2029" s="1">
        <v>0</v>
      </c>
      <c r="AB2029" s="1">
        <v>0</v>
      </c>
      <c r="AC2029" s="1">
        <v>0</v>
      </c>
      <c r="AD2029" s="1">
        <v>0</v>
      </c>
    </row>
    <row r="2030" spans="1:30" s="20" customFormat="1" ht="36" customHeight="1" x14ac:dyDescent="0.25">
      <c r="A2030" s="2">
        <f t="shared" si="1078"/>
        <v>1963</v>
      </c>
      <c r="B2030" s="3">
        <f t="shared" si="1079"/>
        <v>1963</v>
      </c>
      <c r="C2030" s="19" t="s">
        <v>1242</v>
      </c>
      <c r="D2030" s="4">
        <f t="shared" si="1077"/>
        <v>4464362.4000000004</v>
      </c>
      <c r="E2030" s="1">
        <f t="shared" si="1080"/>
        <v>416552.4</v>
      </c>
      <c r="F2030" s="1">
        <f>804*518.1</f>
        <v>416552.4</v>
      </c>
      <c r="G2030" s="1">
        <v>0</v>
      </c>
      <c r="H2030" s="1">
        <v>0</v>
      </c>
      <c r="I2030" s="1">
        <v>0</v>
      </c>
      <c r="J2030" s="1">
        <v>0</v>
      </c>
      <c r="K2030" s="1">
        <v>0</v>
      </c>
      <c r="L2030" s="2">
        <v>0</v>
      </c>
      <c r="M2030" s="1">
        <v>0</v>
      </c>
      <c r="N2030" s="1">
        <v>340</v>
      </c>
      <c r="O2030" s="1">
        <f t="shared" si="1095"/>
        <v>2635000</v>
      </c>
      <c r="P2030" s="1">
        <v>0</v>
      </c>
      <c r="Q2030" s="1">
        <f t="shared" si="1081"/>
        <v>0</v>
      </c>
      <c r="R2030" s="1">
        <v>310</v>
      </c>
      <c r="S2030" s="1">
        <f t="shared" si="1082"/>
        <v>1162810</v>
      </c>
      <c r="T2030" s="1">
        <v>150000</v>
      </c>
      <c r="U2030" s="1">
        <v>50000</v>
      </c>
      <c r="V2030" s="1">
        <v>0</v>
      </c>
      <c r="W2030" s="1">
        <v>50000</v>
      </c>
      <c r="X2030" s="1">
        <v>0</v>
      </c>
      <c r="Y2030" s="1">
        <v>0</v>
      </c>
      <c r="Z2030" s="1">
        <v>0</v>
      </c>
      <c r="AA2030" s="1">
        <v>0</v>
      </c>
      <c r="AB2030" s="1">
        <v>0</v>
      </c>
      <c r="AC2030" s="1">
        <v>0</v>
      </c>
      <c r="AD2030" s="1">
        <v>0</v>
      </c>
    </row>
    <row r="2031" spans="1:30" s="20" customFormat="1" ht="36" customHeight="1" x14ac:dyDescent="0.25">
      <c r="A2031" s="2">
        <f t="shared" si="1078"/>
        <v>1964</v>
      </c>
      <c r="B2031" s="3">
        <f t="shared" si="1079"/>
        <v>1964</v>
      </c>
      <c r="C2031" s="19" t="s">
        <v>1243</v>
      </c>
      <c r="D2031" s="4">
        <f t="shared" si="1077"/>
        <v>4494994.8</v>
      </c>
      <c r="E2031" s="1">
        <f t="shared" si="1080"/>
        <v>447184.80000000005</v>
      </c>
      <c r="F2031" s="1">
        <f>804*556.2</f>
        <v>447184.80000000005</v>
      </c>
      <c r="G2031" s="1">
        <v>0</v>
      </c>
      <c r="H2031" s="1">
        <v>0</v>
      </c>
      <c r="I2031" s="1">
        <v>0</v>
      </c>
      <c r="J2031" s="1">
        <v>0</v>
      </c>
      <c r="K2031" s="1">
        <v>0</v>
      </c>
      <c r="L2031" s="2">
        <v>0</v>
      </c>
      <c r="M2031" s="1">
        <v>0</v>
      </c>
      <c r="N2031" s="1">
        <v>340</v>
      </c>
      <c r="O2031" s="1">
        <f t="shared" si="1095"/>
        <v>2635000</v>
      </c>
      <c r="P2031" s="1">
        <v>0</v>
      </c>
      <c r="Q2031" s="1">
        <f t="shared" si="1081"/>
        <v>0</v>
      </c>
      <c r="R2031" s="1">
        <v>310</v>
      </c>
      <c r="S2031" s="1">
        <f t="shared" si="1082"/>
        <v>1162810</v>
      </c>
      <c r="T2031" s="1">
        <v>150000</v>
      </c>
      <c r="U2031" s="1">
        <v>50000</v>
      </c>
      <c r="V2031" s="1">
        <v>0</v>
      </c>
      <c r="W2031" s="1">
        <v>50000</v>
      </c>
      <c r="X2031" s="1">
        <v>0</v>
      </c>
      <c r="Y2031" s="1">
        <v>0</v>
      </c>
      <c r="Z2031" s="1">
        <v>0</v>
      </c>
      <c r="AA2031" s="1">
        <v>0</v>
      </c>
      <c r="AB2031" s="1">
        <v>0</v>
      </c>
      <c r="AC2031" s="1">
        <v>0</v>
      </c>
      <c r="AD2031" s="1">
        <v>0</v>
      </c>
    </row>
    <row r="2032" spans="1:30" s="20" customFormat="1" ht="36" customHeight="1" x14ac:dyDescent="0.25">
      <c r="A2032" s="2">
        <f t="shared" si="1078"/>
        <v>1965</v>
      </c>
      <c r="B2032" s="3">
        <f t="shared" ref="B2032" si="1096">A2032</f>
        <v>1965</v>
      </c>
      <c r="C2032" s="19" t="s">
        <v>2044</v>
      </c>
      <c r="D2032" s="4">
        <f t="shared" si="1077"/>
        <v>1824058</v>
      </c>
      <c r="E2032" s="1">
        <f t="shared" ref="E2032" si="1097">SUM(F2032:K2032)</f>
        <v>611248</v>
      </c>
      <c r="F2032" s="1">
        <f>804*368</f>
        <v>295872</v>
      </c>
      <c r="G2032" s="1">
        <v>0</v>
      </c>
      <c r="H2032" s="1">
        <f>390*368</f>
        <v>143520</v>
      </c>
      <c r="I2032" s="1">
        <v>0</v>
      </c>
      <c r="J2032" s="1">
        <f>467*368</f>
        <v>171856</v>
      </c>
      <c r="K2032" s="1">
        <v>0</v>
      </c>
      <c r="L2032" s="2">
        <v>0</v>
      </c>
      <c r="M2032" s="1">
        <v>0</v>
      </c>
      <c r="N2032" s="1">
        <v>0</v>
      </c>
      <c r="O2032" s="1">
        <v>0</v>
      </c>
      <c r="P2032" s="1">
        <v>0</v>
      </c>
      <c r="Q2032" s="1">
        <f t="shared" ref="Q2032" si="1098">P2032*1400</f>
        <v>0</v>
      </c>
      <c r="R2032" s="1">
        <v>310</v>
      </c>
      <c r="S2032" s="1">
        <f>R2032*3751</f>
        <v>1162810</v>
      </c>
      <c r="T2032" s="1">
        <v>0</v>
      </c>
      <c r="U2032" s="1">
        <v>50000</v>
      </c>
      <c r="V2032" s="1">
        <v>0</v>
      </c>
      <c r="W2032" s="1">
        <v>0</v>
      </c>
      <c r="X2032" s="1">
        <v>0</v>
      </c>
      <c r="Y2032" s="1">
        <v>0</v>
      </c>
      <c r="Z2032" s="1">
        <v>0</v>
      </c>
      <c r="AA2032" s="1">
        <v>0</v>
      </c>
      <c r="AB2032" s="1">
        <v>0</v>
      </c>
      <c r="AC2032" s="1">
        <v>0</v>
      </c>
      <c r="AD2032" s="1">
        <v>0</v>
      </c>
    </row>
    <row r="2033" spans="1:30" s="20" customFormat="1" ht="36" customHeight="1" x14ac:dyDescent="0.25">
      <c r="A2033" s="2">
        <f t="shared" si="1078"/>
        <v>1966</v>
      </c>
      <c r="B2033" s="3">
        <f t="shared" si="1079"/>
        <v>1966</v>
      </c>
      <c r="C2033" s="19" t="s">
        <v>1244</v>
      </c>
      <c r="D2033" s="4">
        <f t="shared" si="1077"/>
        <v>4416576.4000000004</v>
      </c>
      <c r="E2033" s="1">
        <f t="shared" si="1080"/>
        <v>298766.40000000002</v>
      </c>
      <c r="F2033" s="1">
        <f>804*371.6</f>
        <v>298766.40000000002</v>
      </c>
      <c r="G2033" s="1">
        <v>0</v>
      </c>
      <c r="H2033" s="1">
        <v>0</v>
      </c>
      <c r="I2033" s="1">
        <v>0</v>
      </c>
      <c r="J2033" s="1">
        <v>0</v>
      </c>
      <c r="K2033" s="1">
        <v>0</v>
      </c>
      <c r="L2033" s="2">
        <v>0</v>
      </c>
      <c r="M2033" s="1">
        <v>0</v>
      </c>
      <c r="N2033" s="1">
        <v>340</v>
      </c>
      <c r="O2033" s="1">
        <f t="shared" si="1095"/>
        <v>2635000</v>
      </c>
      <c r="P2033" s="1">
        <v>50</v>
      </c>
      <c r="Q2033" s="1">
        <f t="shared" si="1081"/>
        <v>70000</v>
      </c>
      <c r="R2033" s="1">
        <v>310</v>
      </c>
      <c r="S2033" s="1">
        <f>R2033*3751</f>
        <v>1162810</v>
      </c>
      <c r="T2033" s="1">
        <v>150000</v>
      </c>
      <c r="U2033" s="1">
        <v>50000</v>
      </c>
      <c r="V2033" s="1">
        <v>0</v>
      </c>
      <c r="W2033" s="1">
        <v>50000</v>
      </c>
      <c r="X2033" s="1">
        <v>0</v>
      </c>
      <c r="Y2033" s="1">
        <v>0</v>
      </c>
      <c r="Z2033" s="1">
        <v>0</v>
      </c>
      <c r="AA2033" s="1">
        <v>0</v>
      </c>
      <c r="AB2033" s="1">
        <v>0</v>
      </c>
      <c r="AC2033" s="1">
        <v>0</v>
      </c>
      <c r="AD2033" s="1">
        <v>0</v>
      </c>
    </row>
    <row r="2034" spans="1:30" s="20" customFormat="1" ht="36" customHeight="1" x14ac:dyDescent="0.25">
      <c r="A2034" s="2">
        <f t="shared" si="1078"/>
        <v>1967</v>
      </c>
      <c r="B2034" s="3">
        <f t="shared" si="1079"/>
        <v>1967</v>
      </c>
      <c r="C2034" s="19" t="s">
        <v>1245</v>
      </c>
      <c r="D2034" s="4">
        <f t="shared" si="1077"/>
        <v>4475911.5999999996</v>
      </c>
      <c r="E2034" s="1">
        <f t="shared" si="1080"/>
        <v>358101.6</v>
      </c>
      <c r="F2034" s="1">
        <f>804*445.4</f>
        <v>358101.6</v>
      </c>
      <c r="G2034" s="1">
        <v>0</v>
      </c>
      <c r="H2034" s="1">
        <v>0</v>
      </c>
      <c r="I2034" s="1">
        <v>0</v>
      </c>
      <c r="J2034" s="1">
        <v>0</v>
      </c>
      <c r="K2034" s="1">
        <v>0</v>
      </c>
      <c r="L2034" s="2">
        <v>0</v>
      </c>
      <c r="M2034" s="1">
        <v>0</v>
      </c>
      <c r="N2034" s="1">
        <v>340</v>
      </c>
      <c r="O2034" s="1">
        <f t="shared" si="1095"/>
        <v>2635000</v>
      </c>
      <c r="P2034" s="1">
        <v>50</v>
      </c>
      <c r="Q2034" s="1">
        <f t="shared" si="1081"/>
        <v>70000</v>
      </c>
      <c r="R2034" s="1">
        <v>310</v>
      </c>
      <c r="S2034" s="1">
        <f>R2034*3751</f>
        <v>1162810</v>
      </c>
      <c r="T2034" s="1">
        <v>150000</v>
      </c>
      <c r="U2034" s="1">
        <v>50000</v>
      </c>
      <c r="V2034" s="1">
        <v>0</v>
      </c>
      <c r="W2034" s="1">
        <v>50000</v>
      </c>
      <c r="X2034" s="1">
        <v>0</v>
      </c>
      <c r="Y2034" s="1">
        <v>0</v>
      </c>
      <c r="Z2034" s="1">
        <v>0</v>
      </c>
      <c r="AA2034" s="1">
        <v>0</v>
      </c>
      <c r="AB2034" s="1">
        <v>0</v>
      </c>
      <c r="AC2034" s="1">
        <v>0</v>
      </c>
      <c r="AD2034" s="1">
        <v>0</v>
      </c>
    </row>
    <row r="2035" spans="1:30" s="20" customFormat="1" ht="36" customHeight="1" x14ac:dyDescent="0.25">
      <c r="A2035" s="2">
        <f t="shared" si="1078"/>
        <v>1968</v>
      </c>
      <c r="B2035" s="3">
        <f t="shared" si="1079"/>
        <v>1968</v>
      </c>
      <c r="C2035" s="19" t="s">
        <v>1246</v>
      </c>
      <c r="D2035" s="4">
        <f t="shared" ref="D2035:D2052" si="1099">E2035+M2035+O2035+Q2035+S2035+T2035+U2035+V2035+W2035+X2035+Z2035+AA2035+AB2035+AC2035+AD2035</f>
        <v>6293003.2000000002</v>
      </c>
      <c r="E2035" s="1">
        <f t="shared" si="1080"/>
        <v>704947.19999999995</v>
      </c>
      <c r="F2035" s="1">
        <f>804*876.8</f>
        <v>704947.19999999995</v>
      </c>
      <c r="G2035" s="1">
        <v>0</v>
      </c>
      <c r="H2035" s="1">
        <v>0</v>
      </c>
      <c r="I2035" s="1">
        <v>0</v>
      </c>
      <c r="J2035" s="1">
        <v>0</v>
      </c>
      <c r="K2035" s="1">
        <v>0</v>
      </c>
      <c r="L2035" s="2">
        <v>0</v>
      </c>
      <c r="M2035" s="1">
        <v>0</v>
      </c>
      <c r="N2035" s="1">
        <v>430</v>
      </c>
      <c r="O2035" s="1">
        <f t="shared" si="1095"/>
        <v>3332500</v>
      </c>
      <c r="P2035" s="1">
        <v>50</v>
      </c>
      <c r="Q2035" s="1">
        <f t="shared" si="1081"/>
        <v>70000</v>
      </c>
      <c r="R2035" s="1">
        <v>556</v>
      </c>
      <c r="S2035" s="1">
        <f t="shared" si="1082"/>
        <v>2085556</v>
      </c>
      <c r="T2035" s="1">
        <v>0</v>
      </c>
      <c r="U2035" s="1">
        <v>50000</v>
      </c>
      <c r="V2035" s="1">
        <v>0</v>
      </c>
      <c r="W2035" s="1">
        <v>50000</v>
      </c>
      <c r="X2035" s="1">
        <v>0</v>
      </c>
      <c r="Y2035" s="1">
        <v>0</v>
      </c>
      <c r="Z2035" s="1">
        <v>0</v>
      </c>
      <c r="AA2035" s="1">
        <v>0</v>
      </c>
      <c r="AB2035" s="1">
        <v>0</v>
      </c>
      <c r="AC2035" s="1">
        <v>0</v>
      </c>
      <c r="AD2035" s="1">
        <v>0</v>
      </c>
    </row>
    <row r="2036" spans="1:30" s="20" customFormat="1" ht="36" customHeight="1" x14ac:dyDescent="0.25">
      <c r="A2036" s="2">
        <f t="shared" si="1078"/>
        <v>1969</v>
      </c>
      <c r="B2036" s="3">
        <f t="shared" si="1079"/>
        <v>1969</v>
      </c>
      <c r="C2036" s="19" t="s">
        <v>1247</v>
      </c>
      <c r="D2036" s="4">
        <f t="shared" si="1099"/>
        <v>5542651.2000000002</v>
      </c>
      <c r="E2036" s="1">
        <f t="shared" si="1080"/>
        <v>574699.19999999995</v>
      </c>
      <c r="F2036" s="1">
        <f>804*714.8</f>
        <v>574699.19999999995</v>
      </c>
      <c r="G2036" s="1">
        <v>0</v>
      </c>
      <c r="H2036" s="1">
        <v>0</v>
      </c>
      <c r="I2036" s="1">
        <v>0</v>
      </c>
      <c r="J2036" s="1">
        <v>0</v>
      </c>
      <c r="K2036" s="1">
        <v>0</v>
      </c>
      <c r="L2036" s="2">
        <v>0</v>
      </c>
      <c r="M2036" s="1">
        <v>0</v>
      </c>
      <c r="N2036" s="1">
        <v>390</v>
      </c>
      <c r="O2036" s="1">
        <f t="shared" si="1095"/>
        <v>3022500</v>
      </c>
      <c r="P2036" s="1">
        <v>0</v>
      </c>
      <c r="Q2036" s="1">
        <f t="shared" si="1081"/>
        <v>0</v>
      </c>
      <c r="R2036" s="1">
        <v>452</v>
      </c>
      <c r="S2036" s="1">
        <f t="shared" si="1082"/>
        <v>1695452</v>
      </c>
      <c r="T2036" s="1">
        <v>150000</v>
      </c>
      <c r="U2036" s="1">
        <v>50000</v>
      </c>
      <c r="V2036" s="1">
        <v>0</v>
      </c>
      <c r="W2036" s="1">
        <v>50000</v>
      </c>
      <c r="X2036" s="1">
        <v>0</v>
      </c>
      <c r="Y2036" s="1">
        <v>0</v>
      </c>
      <c r="Z2036" s="1">
        <v>0</v>
      </c>
      <c r="AA2036" s="1">
        <v>0</v>
      </c>
      <c r="AB2036" s="1">
        <v>0</v>
      </c>
      <c r="AC2036" s="1">
        <v>0</v>
      </c>
      <c r="AD2036" s="1">
        <v>0</v>
      </c>
    </row>
    <row r="2037" spans="1:30" s="20" customFormat="1" ht="36" customHeight="1" x14ac:dyDescent="0.25">
      <c r="A2037" s="2">
        <f t="shared" si="1078"/>
        <v>1970</v>
      </c>
      <c r="B2037" s="3">
        <f t="shared" ref="B2037" si="1100">A2037</f>
        <v>1970</v>
      </c>
      <c r="C2037" s="19" t="s">
        <v>2039</v>
      </c>
      <c r="D2037" s="4">
        <f t="shared" si="1099"/>
        <v>1116694.2000000002</v>
      </c>
      <c r="E2037" s="1">
        <f t="shared" ref="E2037" si="1101">SUM(F2037:K2037)</f>
        <v>1066694.2000000002</v>
      </c>
      <c r="F2037" s="1">
        <f>804*642.2</f>
        <v>516328.80000000005</v>
      </c>
      <c r="G2037" s="1">
        <v>0</v>
      </c>
      <c r="H2037" s="1">
        <f>390*642.2</f>
        <v>250458.00000000003</v>
      </c>
      <c r="I2037" s="1">
        <v>0</v>
      </c>
      <c r="J2037" s="1">
        <f>467*642.2</f>
        <v>299907.40000000002</v>
      </c>
      <c r="K2037" s="1">
        <v>0</v>
      </c>
      <c r="L2037" s="2">
        <v>0</v>
      </c>
      <c r="M2037" s="1">
        <v>0</v>
      </c>
      <c r="N2037" s="1">
        <v>0</v>
      </c>
      <c r="O2037" s="1">
        <v>0</v>
      </c>
      <c r="P2037" s="1">
        <v>0</v>
      </c>
      <c r="Q2037" s="1">
        <f t="shared" ref="Q2037" si="1102">P2037*1400</f>
        <v>0</v>
      </c>
      <c r="R2037" s="1">
        <v>0</v>
      </c>
      <c r="S2037" s="1">
        <f t="shared" ref="S2037" si="1103">R2037*3751</f>
        <v>0</v>
      </c>
      <c r="T2037" s="1">
        <v>0</v>
      </c>
      <c r="U2037" s="1">
        <v>50000</v>
      </c>
      <c r="V2037" s="1">
        <v>0</v>
      </c>
      <c r="W2037" s="1">
        <v>0</v>
      </c>
      <c r="X2037" s="1">
        <v>0</v>
      </c>
      <c r="Y2037" s="1">
        <v>0</v>
      </c>
      <c r="Z2037" s="1">
        <v>0</v>
      </c>
      <c r="AA2037" s="1">
        <v>0</v>
      </c>
      <c r="AB2037" s="1">
        <v>0</v>
      </c>
      <c r="AC2037" s="1">
        <v>0</v>
      </c>
      <c r="AD2037" s="1">
        <v>0</v>
      </c>
    </row>
    <row r="2038" spans="1:30" s="20" customFormat="1" ht="36" customHeight="1" x14ac:dyDescent="0.25">
      <c r="A2038" s="2">
        <f t="shared" si="1078"/>
        <v>1971</v>
      </c>
      <c r="B2038" s="3">
        <f t="shared" si="1079"/>
        <v>1971</v>
      </c>
      <c r="C2038" s="19" t="s">
        <v>1248</v>
      </c>
      <c r="D2038" s="4">
        <f t="shared" si="1099"/>
        <v>2802164</v>
      </c>
      <c r="E2038" s="1">
        <f t="shared" si="1080"/>
        <v>629130</v>
      </c>
      <c r="F2038" s="1">
        <f>804*782.5</f>
        <v>629130</v>
      </c>
      <c r="G2038" s="1">
        <v>0</v>
      </c>
      <c r="H2038" s="1">
        <v>0</v>
      </c>
      <c r="I2038" s="1">
        <v>0</v>
      </c>
      <c r="J2038" s="1">
        <v>0</v>
      </c>
      <c r="K2038" s="1">
        <v>0</v>
      </c>
      <c r="L2038" s="2">
        <v>0</v>
      </c>
      <c r="M2038" s="1">
        <v>0</v>
      </c>
      <c r="N2038" s="1">
        <v>0</v>
      </c>
      <c r="O2038" s="1">
        <v>0</v>
      </c>
      <c r="P2038" s="1">
        <v>50</v>
      </c>
      <c r="Q2038" s="1">
        <f t="shared" si="1081"/>
        <v>70000</v>
      </c>
      <c r="R2038" s="1">
        <v>534</v>
      </c>
      <c r="S2038" s="1">
        <f t="shared" si="1082"/>
        <v>2003034</v>
      </c>
      <c r="T2038" s="1">
        <v>0</v>
      </c>
      <c r="U2038" s="1">
        <v>50000</v>
      </c>
      <c r="V2038" s="1">
        <v>0</v>
      </c>
      <c r="W2038" s="1">
        <v>50000</v>
      </c>
      <c r="X2038" s="1">
        <v>0</v>
      </c>
      <c r="Y2038" s="1">
        <v>0</v>
      </c>
      <c r="Z2038" s="1">
        <v>0</v>
      </c>
      <c r="AA2038" s="1">
        <v>0</v>
      </c>
      <c r="AB2038" s="1">
        <v>0</v>
      </c>
      <c r="AC2038" s="1">
        <v>0</v>
      </c>
      <c r="AD2038" s="1">
        <v>0</v>
      </c>
    </row>
    <row r="2039" spans="1:30" s="20" customFormat="1" ht="36" customHeight="1" x14ac:dyDescent="0.25">
      <c r="A2039" s="2">
        <f t="shared" si="1078"/>
        <v>1972</v>
      </c>
      <c r="B2039" s="3">
        <f t="shared" si="1079"/>
        <v>1972</v>
      </c>
      <c r="C2039" s="19" t="s">
        <v>2040</v>
      </c>
      <c r="D2039" s="4">
        <f t="shared" si="1099"/>
        <v>1109385.7999999998</v>
      </c>
      <c r="E2039" s="1">
        <f t="shared" si="1080"/>
        <v>1059385.7999999998</v>
      </c>
      <c r="F2039" s="1">
        <f>804*637.8</f>
        <v>512791.19999999995</v>
      </c>
      <c r="G2039" s="1">
        <v>0</v>
      </c>
      <c r="H2039" s="1">
        <f>390*637.8</f>
        <v>248741.99999999997</v>
      </c>
      <c r="I2039" s="1">
        <v>0</v>
      </c>
      <c r="J2039" s="1">
        <f>467*637.8</f>
        <v>297852.59999999998</v>
      </c>
      <c r="K2039" s="1">
        <v>0</v>
      </c>
      <c r="L2039" s="2">
        <v>0</v>
      </c>
      <c r="M2039" s="1">
        <v>0</v>
      </c>
      <c r="N2039" s="1">
        <v>0</v>
      </c>
      <c r="O2039" s="1">
        <v>0</v>
      </c>
      <c r="P2039" s="1">
        <v>0</v>
      </c>
      <c r="Q2039" s="1">
        <f t="shared" si="1081"/>
        <v>0</v>
      </c>
      <c r="R2039" s="1">
        <v>0</v>
      </c>
      <c r="S2039" s="1">
        <f t="shared" si="1082"/>
        <v>0</v>
      </c>
      <c r="T2039" s="1">
        <v>0</v>
      </c>
      <c r="U2039" s="1">
        <v>50000</v>
      </c>
      <c r="V2039" s="1">
        <v>0</v>
      </c>
      <c r="W2039" s="1">
        <v>0</v>
      </c>
      <c r="X2039" s="1">
        <v>0</v>
      </c>
      <c r="Y2039" s="1">
        <v>0</v>
      </c>
      <c r="Z2039" s="1">
        <v>0</v>
      </c>
      <c r="AA2039" s="1">
        <v>0</v>
      </c>
      <c r="AB2039" s="1">
        <v>0</v>
      </c>
      <c r="AC2039" s="1">
        <v>0</v>
      </c>
      <c r="AD2039" s="1">
        <v>0</v>
      </c>
    </row>
    <row r="2040" spans="1:30" s="20" customFormat="1" ht="36" customHeight="1" x14ac:dyDescent="0.25">
      <c r="A2040" s="2">
        <f t="shared" si="1078"/>
        <v>1973</v>
      </c>
      <c r="B2040" s="3">
        <f t="shared" si="1079"/>
        <v>1973</v>
      </c>
      <c r="C2040" s="19" t="s">
        <v>1249</v>
      </c>
      <c r="D2040" s="4">
        <f t="shared" si="1099"/>
        <v>6073016.7999999998</v>
      </c>
      <c r="E2040" s="1">
        <f t="shared" si="1080"/>
        <v>813004.80000000005</v>
      </c>
      <c r="F2040" s="1">
        <f>804*1011.2</f>
        <v>813004.80000000005</v>
      </c>
      <c r="G2040" s="1">
        <v>0</v>
      </c>
      <c r="H2040" s="1">
        <v>0</v>
      </c>
      <c r="I2040" s="1">
        <v>0</v>
      </c>
      <c r="J2040" s="1">
        <v>0</v>
      </c>
      <c r="K2040" s="1">
        <v>0</v>
      </c>
      <c r="L2040" s="2">
        <v>0</v>
      </c>
      <c r="M2040" s="1">
        <v>0</v>
      </c>
      <c r="N2040" s="1">
        <v>418</v>
      </c>
      <c r="O2040" s="1">
        <f>N2040*7750</f>
        <v>3239500</v>
      </c>
      <c r="P2040" s="1">
        <v>0</v>
      </c>
      <c r="Q2040" s="1">
        <f t="shared" si="1081"/>
        <v>0</v>
      </c>
      <c r="R2040" s="1">
        <v>512</v>
      </c>
      <c r="S2040" s="1">
        <f t="shared" si="1082"/>
        <v>1920512</v>
      </c>
      <c r="T2040" s="1">
        <v>0</v>
      </c>
      <c r="U2040" s="1">
        <v>50000</v>
      </c>
      <c r="V2040" s="1">
        <v>0</v>
      </c>
      <c r="W2040" s="1">
        <v>50000</v>
      </c>
      <c r="X2040" s="1">
        <v>0</v>
      </c>
      <c r="Y2040" s="1">
        <v>0</v>
      </c>
      <c r="Z2040" s="1">
        <v>0</v>
      </c>
      <c r="AA2040" s="1">
        <v>0</v>
      </c>
      <c r="AB2040" s="1">
        <v>0</v>
      </c>
      <c r="AC2040" s="1">
        <v>0</v>
      </c>
      <c r="AD2040" s="1">
        <v>0</v>
      </c>
    </row>
    <row r="2041" spans="1:30" s="20" customFormat="1" ht="36" customHeight="1" x14ac:dyDescent="0.25">
      <c r="A2041" s="2">
        <f t="shared" si="1078"/>
        <v>1974</v>
      </c>
      <c r="B2041" s="3">
        <f t="shared" ref="B2041" si="1104">A2041</f>
        <v>1974</v>
      </c>
      <c r="C2041" s="19" t="s">
        <v>2041</v>
      </c>
      <c r="D2041" s="4">
        <f t="shared" si="1099"/>
        <v>2438150</v>
      </c>
      <c r="E2041" s="1">
        <f t="shared" ref="E2041" si="1105">SUM(F2041:K2041)</f>
        <v>0</v>
      </c>
      <c r="F2041" s="1">
        <v>0</v>
      </c>
      <c r="G2041" s="1">
        <v>0</v>
      </c>
      <c r="H2041" s="1">
        <v>0</v>
      </c>
      <c r="I2041" s="1">
        <v>0</v>
      </c>
      <c r="J2041" s="1">
        <v>0</v>
      </c>
      <c r="K2041" s="1">
        <v>0</v>
      </c>
      <c r="L2041" s="2">
        <v>0</v>
      </c>
      <c r="M2041" s="1">
        <v>0</v>
      </c>
      <c r="N2041" s="1">
        <v>0</v>
      </c>
      <c r="O2041" s="1">
        <v>0</v>
      </c>
      <c r="P2041" s="1">
        <v>0</v>
      </c>
      <c r="Q2041" s="1">
        <f t="shared" ref="Q2041" si="1106">P2041*1400</f>
        <v>0</v>
      </c>
      <c r="R2041" s="1">
        <v>650</v>
      </c>
      <c r="S2041" s="1">
        <f>R2041*3751</f>
        <v>2438150</v>
      </c>
      <c r="T2041" s="1">
        <v>0</v>
      </c>
      <c r="U2041" s="1">
        <v>0</v>
      </c>
      <c r="V2041" s="1">
        <v>0</v>
      </c>
      <c r="W2041" s="1">
        <v>0</v>
      </c>
      <c r="X2041" s="1">
        <v>0</v>
      </c>
      <c r="Y2041" s="1">
        <v>0</v>
      </c>
      <c r="Z2041" s="1">
        <v>0</v>
      </c>
      <c r="AA2041" s="1">
        <v>0</v>
      </c>
      <c r="AB2041" s="1">
        <v>0</v>
      </c>
      <c r="AC2041" s="1">
        <v>0</v>
      </c>
      <c r="AD2041" s="1">
        <v>0</v>
      </c>
    </row>
    <row r="2042" spans="1:30" s="20" customFormat="1" ht="36" customHeight="1" x14ac:dyDescent="0.25">
      <c r="A2042" s="2">
        <f t="shared" si="1078"/>
        <v>1975</v>
      </c>
      <c r="B2042" s="3">
        <f t="shared" si="1079"/>
        <v>1975</v>
      </c>
      <c r="C2042" s="19" t="s">
        <v>1250</v>
      </c>
      <c r="D2042" s="4">
        <f t="shared" si="1099"/>
        <v>1483756.2999999998</v>
      </c>
      <c r="E2042" s="1">
        <f t="shared" si="1080"/>
        <v>1163756.2999999998</v>
      </c>
      <c r="F2042" s="1">
        <f>804*692.3</f>
        <v>556609.19999999995</v>
      </c>
      <c r="G2042" s="1">
        <v>0</v>
      </c>
      <c r="H2042" s="1">
        <f>390*692.3</f>
        <v>269997</v>
      </c>
      <c r="I2042" s="1">
        <v>0</v>
      </c>
      <c r="J2042" s="1">
        <f>487*692.3</f>
        <v>337150.1</v>
      </c>
      <c r="K2042" s="1">
        <v>0</v>
      </c>
      <c r="L2042" s="2">
        <v>0</v>
      </c>
      <c r="M2042" s="1">
        <v>0</v>
      </c>
      <c r="N2042" s="1">
        <v>0</v>
      </c>
      <c r="O2042" s="1">
        <v>0</v>
      </c>
      <c r="P2042" s="1">
        <v>50</v>
      </c>
      <c r="Q2042" s="1">
        <f t="shared" si="1081"/>
        <v>70000</v>
      </c>
      <c r="R2042" s="1">
        <v>0</v>
      </c>
      <c r="S2042" s="1">
        <v>0</v>
      </c>
      <c r="T2042" s="1">
        <v>150000</v>
      </c>
      <c r="U2042" s="1">
        <v>50000</v>
      </c>
      <c r="V2042" s="1">
        <v>0</v>
      </c>
      <c r="W2042" s="1">
        <v>50000</v>
      </c>
      <c r="X2042" s="1">
        <v>0</v>
      </c>
      <c r="Y2042" s="1">
        <v>0</v>
      </c>
      <c r="Z2042" s="1">
        <v>0</v>
      </c>
      <c r="AA2042" s="1">
        <v>0</v>
      </c>
      <c r="AB2042" s="1">
        <v>0</v>
      </c>
      <c r="AC2042" s="1">
        <v>0</v>
      </c>
      <c r="AD2042" s="1">
        <v>0</v>
      </c>
    </row>
    <row r="2043" spans="1:30" s="20" customFormat="1" ht="36" customHeight="1" x14ac:dyDescent="0.25">
      <c r="A2043" s="2">
        <f t="shared" si="1078"/>
        <v>1976</v>
      </c>
      <c r="B2043" s="3">
        <f t="shared" si="1079"/>
        <v>1976</v>
      </c>
      <c r="C2043" s="19" t="s">
        <v>1251</v>
      </c>
      <c r="D2043" s="4">
        <f t="shared" si="1099"/>
        <v>2002057</v>
      </c>
      <c r="E2043" s="1">
        <f t="shared" si="1080"/>
        <v>1902057</v>
      </c>
      <c r="F2043" s="1">
        <v>0</v>
      </c>
      <c r="G2043" s="1">
        <f>1693*740.1</f>
        <v>1252989.3</v>
      </c>
      <c r="H2043" s="1">
        <f>390*740.1</f>
        <v>288639</v>
      </c>
      <c r="I2043" s="1">
        <v>0</v>
      </c>
      <c r="J2043" s="1">
        <f>487*740.1</f>
        <v>360428.7</v>
      </c>
      <c r="K2043" s="1">
        <v>0</v>
      </c>
      <c r="L2043" s="2">
        <v>0</v>
      </c>
      <c r="M2043" s="1">
        <v>0</v>
      </c>
      <c r="N2043" s="1">
        <v>0</v>
      </c>
      <c r="O2043" s="1">
        <v>0</v>
      </c>
      <c r="P2043" s="1">
        <v>0</v>
      </c>
      <c r="Q2043" s="1">
        <f t="shared" si="1081"/>
        <v>0</v>
      </c>
      <c r="R2043" s="1">
        <v>0</v>
      </c>
      <c r="S2043" s="1">
        <v>0</v>
      </c>
      <c r="T2043" s="1">
        <v>0</v>
      </c>
      <c r="U2043" s="1">
        <v>50000</v>
      </c>
      <c r="V2043" s="1">
        <v>0</v>
      </c>
      <c r="W2043" s="1">
        <v>50000</v>
      </c>
      <c r="X2043" s="1">
        <v>0</v>
      </c>
      <c r="Y2043" s="1">
        <v>0</v>
      </c>
      <c r="Z2043" s="1">
        <v>0</v>
      </c>
      <c r="AA2043" s="1">
        <v>0</v>
      </c>
      <c r="AB2043" s="1">
        <v>0</v>
      </c>
      <c r="AC2043" s="1">
        <v>0</v>
      </c>
      <c r="AD2043" s="1">
        <v>0</v>
      </c>
    </row>
    <row r="2044" spans="1:30" s="20" customFormat="1" ht="36" customHeight="1" x14ac:dyDescent="0.25">
      <c r="A2044" s="2">
        <f t="shared" si="1078"/>
        <v>1977</v>
      </c>
      <c r="B2044" s="3">
        <f t="shared" si="1079"/>
        <v>1977</v>
      </c>
      <c r="C2044" s="19" t="s">
        <v>1252</v>
      </c>
      <c r="D2044" s="4">
        <f t="shared" si="1099"/>
        <v>2806354.6</v>
      </c>
      <c r="E2044" s="1">
        <f t="shared" si="1080"/>
        <v>868404.60000000009</v>
      </c>
      <c r="F2044" s="1">
        <f>804*516.6</f>
        <v>415346.4</v>
      </c>
      <c r="G2044" s="1">
        <v>0</v>
      </c>
      <c r="H2044" s="1">
        <f>390*516.6</f>
        <v>201474</v>
      </c>
      <c r="I2044" s="1">
        <v>0</v>
      </c>
      <c r="J2044" s="1">
        <f>487*516.6</f>
        <v>251584.2</v>
      </c>
      <c r="K2044" s="1">
        <v>0</v>
      </c>
      <c r="L2044" s="2">
        <v>0</v>
      </c>
      <c r="M2044" s="1">
        <v>0</v>
      </c>
      <c r="N2044" s="1">
        <v>0</v>
      </c>
      <c r="O2044" s="1">
        <v>0</v>
      </c>
      <c r="P2044" s="1">
        <v>0</v>
      </c>
      <c r="Q2044" s="1">
        <f t="shared" si="1081"/>
        <v>0</v>
      </c>
      <c r="R2044" s="1">
        <v>450</v>
      </c>
      <c r="S2044" s="1">
        <f t="shared" si="1082"/>
        <v>1687950</v>
      </c>
      <c r="T2044" s="1">
        <v>150000</v>
      </c>
      <c r="U2044" s="1">
        <v>50000</v>
      </c>
      <c r="V2044" s="1">
        <v>0</v>
      </c>
      <c r="W2044" s="1">
        <v>50000</v>
      </c>
      <c r="X2044" s="1">
        <v>0</v>
      </c>
      <c r="Y2044" s="1">
        <v>0</v>
      </c>
      <c r="Z2044" s="1">
        <v>0</v>
      </c>
      <c r="AA2044" s="1">
        <v>0</v>
      </c>
      <c r="AB2044" s="1">
        <v>0</v>
      </c>
      <c r="AC2044" s="1">
        <v>0</v>
      </c>
      <c r="AD2044" s="1">
        <v>0</v>
      </c>
    </row>
    <row r="2045" spans="1:30" s="20" customFormat="1" ht="36" customHeight="1" x14ac:dyDescent="0.25">
      <c r="A2045" s="2">
        <f t="shared" si="1078"/>
        <v>1978</v>
      </c>
      <c r="B2045" s="3">
        <f t="shared" ref="B2045" si="1107">A2045</f>
        <v>1978</v>
      </c>
      <c r="C2045" s="19" t="s">
        <v>1253</v>
      </c>
      <c r="D2045" s="4">
        <f t="shared" si="1099"/>
        <v>1042032.3999999999</v>
      </c>
      <c r="E2045" s="1">
        <f t="shared" ref="E2045" si="1108">SUM(F2045:K2045)</f>
        <v>942032.39999999991</v>
      </c>
      <c r="F2045" s="1">
        <f>804*560.4</f>
        <v>450561.6</v>
      </c>
      <c r="G2045" s="1">
        <v>0</v>
      </c>
      <c r="H2045" s="1">
        <f>390*560.4</f>
        <v>218556</v>
      </c>
      <c r="I2045" s="1">
        <v>0</v>
      </c>
      <c r="J2045" s="1">
        <f>487*560.4</f>
        <v>272914.8</v>
      </c>
      <c r="K2045" s="1">
        <v>0</v>
      </c>
      <c r="L2045" s="2">
        <v>0</v>
      </c>
      <c r="M2045" s="1">
        <v>0</v>
      </c>
      <c r="N2045" s="1">
        <v>0</v>
      </c>
      <c r="O2045" s="1">
        <v>0</v>
      </c>
      <c r="P2045" s="1">
        <v>0</v>
      </c>
      <c r="Q2045" s="1">
        <f t="shared" ref="Q2045" si="1109">P2045*1400</f>
        <v>0</v>
      </c>
      <c r="R2045" s="1">
        <v>0</v>
      </c>
      <c r="S2045" s="1">
        <f t="shared" ref="S2045" si="1110">R2045*3751</f>
        <v>0</v>
      </c>
      <c r="T2045" s="1">
        <v>0</v>
      </c>
      <c r="U2045" s="1">
        <v>50000</v>
      </c>
      <c r="V2045" s="1">
        <v>0</v>
      </c>
      <c r="W2045" s="1">
        <v>50000</v>
      </c>
      <c r="X2045" s="1">
        <v>0</v>
      </c>
      <c r="Y2045" s="1">
        <v>0</v>
      </c>
      <c r="Z2045" s="1">
        <v>0</v>
      </c>
      <c r="AA2045" s="1">
        <v>0</v>
      </c>
      <c r="AB2045" s="1">
        <v>0</v>
      </c>
      <c r="AC2045" s="1">
        <v>0</v>
      </c>
      <c r="AD2045" s="1">
        <v>0</v>
      </c>
    </row>
    <row r="2046" spans="1:30" s="20" customFormat="1" ht="36" customHeight="1" x14ac:dyDescent="0.25">
      <c r="A2046" s="2">
        <f t="shared" si="1078"/>
        <v>1979</v>
      </c>
      <c r="B2046" s="3">
        <f t="shared" si="1079"/>
        <v>1979</v>
      </c>
      <c r="C2046" s="19" t="s">
        <v>2042</v>
      </c>
      <c r="D2046" s="4">
        <f t="shared" si="1099"/>
        <v>996770</v>
      </c>
      <c r="E2046" s="1">
        <f t="shared" si="1080"/>
        <v>946770</v>
      </c>
      <c r="F2046" s="1">
        <f>804*570</f>
        <v>458280</v>
      </c>
      <c r="G2046" s="1">
        <v>0</v>
      </c>
      <c r="H2046" s="1">
        <f>390*570</f>
        <v>222300</v>
      </c>
      <c r="I2046" s="1">
        <v>0</v>
      </c>
      <c r="J2046" s="1">
        <f>467*570</f>
        <v>266190</v>
      </c>
      <c r="K2046" s="1">
        <v>0</v>
      </c>
      <c r="L2046" s="2">
        <v>0</v>
      </c>
      <c r="M2046" s="1">
        <v>0</v>
      </c>
      <c r="N2046" s="1">
        <v>0</v>
      </c>
      <c r="O2046" s="1">
        <v>0</v>
      </c>
      <c r="P2046" s="1">
        <v>0</v>
      </c>
      <c r="Q2046" s="1">
        <f t="shared" si="1081"/>
        <v>0</v>
      </c>
      <c r="R2046" s="1">
        <v>0</v>
      </c>
      <c r="S2046" s="1">
        <f t="shared" si="1082"/>
        <v>0</v>
      </c>
      <c r="T2046" s="1">
        <v>0</v>
      </c>
      <c r="U2046" s="1">
        <v>50000</v>
      </c>
      <c r="V2046" s="1">
        <v>0</v>
      </c>
      <c r="W2046" s="1">
        <v>0</v>
      </c>
      <c r="X2046" s="1">
        <v>0</v>
      </c>
      <c r="Y2046" s="1">
        <v>0</v>
      </c>
      <c r="Z2046" s="1">
        <v>0</v>
      </c>
      <c r="AA2046" s="1">
        <v>0</v>
      </c>
      <c r="AB2046" s="1">
        <v>0</v>
      </c>
      <c r="AC2046" s="1">
        <v>0</v>
      </c>
      <c r="AD2046" s="1">
        <v>0</v>
      </c>
    </row>
    <row r="2047" spans="1:30" s="20" customFormat="1" ht="36" customHeight="1" x14ac:dyDescent="0.25">
      <c r="A2047" s="2">
        <f t="shared" si="1078"/>
        <v>1980</v>
      </c>
      <c r="B2047" s="3">
        <f t="shared" ref="B2047" si="1111">A2047</f>
        <v>1980</v>
      </c>
      <c r="C2047" s="19" t="s">
        <v>2043</v>
      </c>
      <c r="D2047" s="4">
        <f t="shared" si="1099"/>
        <v>1040620.3999999999</v>
      </c>
      <c r="E2047" s="1">
        <f t="shared" ref="E2047" si="1112">SUM(F2047:K2047)</f>
        <v>990620.39999999991</v>
      </c>
      <c r="F2047" s="1">
        <f>804*596.4</f>
        <v>479505.6</v>
      </c>
      <c r="G2047" s="1">
        <v>0</v>
      </c>
      <c r="H2047" s="1">
        <f>390*596.4</f>
        <v>232596</v>
      </c>
      <c r="I2047" s="1">
        <v>0</v>
      </c>
      <c r="J2047" s="1">
        <f>467*596.4</f>
        <v>278518.8</v>
      </c>
      <c r="K2047" s="1">
        <v>0</v>
      </c>
      <c r="L2047" s="2">
        <v>0</v>
      </c>
      <c r="M2047" s="1">
        <v>0</v>
      </c>
      <c r="N2047" s="1">
        <v>0</v>
      </c>
      <c r="O2047" s="1">
        <v>0</v>
      </c>
      <c r="P2047" s="1">
        <v>0</v>
      </c>
      <c r="Q2047" s="1">
        <f t="shared" ref="Q2047" si="1113">P2047*1400</f>
        <v>0</v>
      </c>
      <c r="R2047" s="1">
        <v>0</v>
      </c>
      <c r="S2047" s="1">
        <f t="shared" ref="S2047" si="1114">R2047*3751</f>
        <v>0</v>
      </c>
      <c r="T2047" s="1">
        <v>0</v>
      </c>
      <c r="U2047" s="1">
        <v>50000</v>
      </c>
      <c r="V2047" s="1">
        <v>0</v>
      </c>
      <c r="W2047" s="1">
        <v>0</v>
      </c>
      <c r="X2047" s="1">
        <v>0</v>
      </c>
      <c r="Y2047" s="1">
        <v>0</v>
      </c>
      <c r="Z2047" s="1">
        <v>0</v>
      </c>
      <c r="AA2047" s="1">
        <v>0</v>
      </c>
      <c r="AB2047" s="1">
        <v>0</v>
      </c>
      <c r="AC2047" s="1">
        <v>0</v>
      </c>
      <c r="AD2047" s="1">
        <v>0</v>
      </c>
    </row>
    <row r="2048" spans="1:30" s="20" customFormat="1" ht="36" customHeight="1" x14ac:dyDescent="0.25">
      <c r="A2048" s="2">
        <f t="shared" si="1078"/>
        <v>1981</v>
      </c>
      <c r="B2048" s="3">
        <f t="shared" si="1079"/>
        <v>1981</v>
      </c>
      <c r="C2048" s="19" t="s">
        <v>1254</v>
      </c>
      <c r="D2048" s="4">
        <f t="shared" si="1099"/>
        <v>4188696</v>
      </c>
      <c r="E2048" s="1">
        <f t="shared" si="1080"/>
        <v>340896</v>
      </c>
      <c r="F2048" s="1">
        <f>804*424</f>
        <v>340896</v>
      </c>
      <c r="G2048" s="1">
        <v>0</v>
      </c>
      <c r="H2048" s="1">
        <v>0</v>
      </c>
      <c r="I2048" s="1">
        <v>0</v>
      </c>
      <c r="J2048" s="1">
        <v>0</v>
      </c>
      <c r="K2048" s="1">
        <v>0</v>
      </c>
      <c r="L2048" s="2">
        <v>0</v>
      </c>
      <c r="M2048" s="1">
        <v>0</v>
      </c>
      <c r="N2048" s="1">
        <v>310</v>
      </c>
      <c r="O2048" s="1">
        <f>N2048*7750</f>
        <v>2402500</v>
      </c>
      <c r="P2048" s="1">
        <v>50</v>
      </c>
      <c r="Q2048" s="1">
        <f t="shared" si="1081"/>
        <v>70000</v>
      </c>
      <c r="R2048" s="1">
        <v>300</v>
      </c>
      <c r="S2048" s="1">
        <f t="shared" si="1082"/>
        <v>1125300</v>
      </c>
      <c r="T2048" s="1">
        <v>150000</v>
      </c>
      <c r="U2048" s="1">
        <v>50000</v>
      </c>
      <c r="V2048" s="1">
        <v>0</v>
      </c>
      <c r="W2048" s="1">
        <v>50000</v>
      </c>
      <c r="X2048" s="1">
        <v>0</v>
      </c>
      <c r="Y2048" s="1">
        <v>0</v>
      </c>
      <c r="Z2048" s="1">
        <v>0</v>
      </c>
      <c r="AA2048" s="1">
        <v>0</v>
      </c>
      <c r="AB2048" s="1">
        <v>0</v>
      </c>
      <c r="AC2048" s="1">
        <v>0</v>
      </c>
      <c r="AD2048" s="1">
        <v>0</v>
      </c>
    </row>
    <row r="2049" spans="1:30" s="20" customFormat="1" ht="36" customHeight="1" x14ac:dyDescent="0.25">
      <c r="A2049" s="2">
        <f t="shared" si="1078"/>
        <v>1982</v>
      </c>
      <c r="B2049" s="3">
        <f t="shared" si="1079"/>
        <v>1982</v>
      </c>
      <c r="C2049" s="19" t="s">
        <v>1255</v>
      </c>
      <c r="D2049" s="4">
        <f t="shared" si="1099"/>
        <v>1797452</v>
      </c>
      <c r="E2049" s="1">
        <f t="shared" si="1080"/>
        <v>352152</v>
      </c>
      <c r="F2049" s="1">
        <f>804*438</f>
        <v>352152</v>
      </c>
      <c r="G2049" s="1">
        <v>0</v>
      </c>
      <c r="H2049" s="1">
        <v>0</v>
      </c>
      <c r="I2049" s="1">
        <v>0</v>
      </c>
      <c r="J2049" s="1">
        <v>0</v>
      </c>
      <c r="K2049" s="1">
        <v>0</v>
      </c>
      <c r="L2049" s="2">
        <v>0</v>
      </c>
      <c r="M2049" s="1">
        <v>0</v>
      </c>
      <c r="N2049" s="1">
        <v>0</v>
      </c>
      <c r="O2049" s="1">
        <v>0</v>
      </c>
      <c r="P2049" s="1">
        <v>50</v>
      </c>
      <c r="Q2049" s="1">
        <f t="shared" si="1081"/>
        <v>70000</v>
      </c>
      <c r="R2049" s="1">
        <v>300</v>
      </c>
      <c r="S2049" s="1">
        <f>R2049*3751</f>
        <v>1125300</v>
      </c>
      <c r="T2049" s="1">
        <v>150000</v>
      </c>
      <c r="U2049" s="1">
        <v>50000</v>
      </c>
      <c r="V2049" s="1">
        <v>0</v>
      </c>
      <c r="W2049" s="1">
        <v>50000</v>
      </c>
      <c r="X2049" s="1">
        <v>0</v>
      </c>
      <c r="Y2049" s="1">
        <v>0</v>
      </c>
      <c r="Z2049" s="1">
        <v>0</v>
      </c>
      <c r="AA2049" s="1">
        <v>0</v>
      </c>
      <c r="AB2049" s="1">
        <v>0</v>
      </c>
      <c r="AC2049" s="1">
        <v>0</v>
      </c>
      <c r="AD2049" s="1">
        <v>0</v>
      </c>
    </row>
    <row r="2050" spans="1:30" s="20" customFormat="1" ht="36" customHeight="1" x14ac:dyDescent="0.25">
      <c r="A2050" s="2">
        <f t="shared" si="1078"/>
        <v>1983</v>
      </c>
      <c r="B2050" s="3">
        <f t="shared" si="1079"/>
        <v>1983</v>
      </c>
      <c r="C2050" s="19" t="s">
        <v>1256</v>
      </c>
      <c r="D2050" s="4">
        <f t="shared" si="1099"/>
        <v>1788608</v>
      </c>
      <c r="E2050" s="1">
        <f t="shared" si="1080"/>
        <v>343308</v>
      </c>
      <c r="F2050" s="1">
        <f>804*427</f>
        <v>343308</v>
      </c>
      <c r="G2050" s="1">
        <v>0</v>
      </c>
      <c r="H2050" s="1">
        <v>0</v>
      </c>
      <c r="I2050" s="1">
        <v>0</v>
      </c>
      <c r="J2050" s="1">
        <v>0</v>
      </c>
      <c r="K2050" s="1">
        <v>0</v>
      </c>
      <c r="L2050" s="2">
        <v>0</v>
      </c>
      <c r="M2050" s="1">
        <v>0</v>
      </c>
      <c r="N2050" s="1">
        <v>0</v>
      </c>
      <c r="O2050" s="1">
        <v>0</v>
      </c>
      <c r="P2050" s="1">
        <v>50</v>
      </c>
      <c r="Q2050" s="1">
        <f t="shared" si="1081"/>
        <v>70000</v>
      </c>
      <c r="R2050" s="1">
        <v>300</v>
      </c>
      <c r="S2050" s="1">
        <f>R2050*3751</f>
        <v>1125300</v>
      </c>
      <c r="T2050" s="1">
        <v>150000</v>
      </c>
      <c r="U2050" s="1">
        <v>50000</v>
      </c>
      <c r="V2050" s="1">
        <v>0</v>
      </c>
      <c r="W2050" s="1">
        <v>50000</v>
      </c>
      <c r="X2050" s="1">
        <v>0</v>
      </c>
      <c r="Y2050" s="1">
        <v>0</v>
      </c>
      <c r="Z2050" s="1">
        <v>0</v>
      </c>
      <c r="AA2050" s="1">
        <v>0</v>
      </c>
      <c r="AB2050" s="1">
        <v>0</v>
      </c>
      <c r="AC2050" s="1">
        <v>0</v>
      </c>
      <c r="AD2050" s="1">
        <v>0</v>
      </c>
    </row>
    <row r="2051" spans="1:30" s="20" customFormat="1" ht="36" customHeight="1" x14ac:dyDescent="0.25">
      <c r="A2051" s="2">
        <f t="shared" si="1078"/>
        <v>1984</v>
      </c>
      <c r="B2051" s="3">
        <f t="shared" si="1079"/>
        <v>1984</v>
      </c>
      <c r="C2051" s="19" t="s">
        <v>1257</v>
      </c>
      <c r="D2051" s="4">
        <f t="shared" si="1099"/>
        <v>4912832</v>
      </c>
      <c r="E2051" s="1">
        <f t="shared" si="1080"/>
        <v>525012</v>
      </c>
      <c r="F2051" s="1">
        <f>804*653</f>
        <v>525012</v>
      </c>
      <c r="G2051" s="1">
        <v>0</v>
      </c>
      <c r="H2051" s="1">
        <v>0</v>
      </c>
      <c r="I2051" s="1">
        <v>0</v>
      </c>
      <c r="J2051" s="1">
        <v>0</v>
      </c>
      <c r="K2051" s="1">
        <v>0</v>
      </c>
      <c r="L2051" s="2">
        <v>0</v>
      </c>
      <c r="M2051" s="1">
        <v>0</v>
      </c>
      <c r="N2051" s="1">
        <v>370</v>
      </c>
      <c r="O2051" s="1">
        <f>N2051*7750</f>
        <v>2867500</v>
      </c>
      <c r="P2051" s="1">
        <v>50</v>
      </c>
      <c r="Q2051" s="1">
        <f t="shared" si="1081"/>
        <v>70000</v>
      </c>
      <c r="R2051" s="1">
        <v>320</v>
      </c>
      <c r="S2051" s="1">
        <f>R2051*3751</f>
        <v>1200320</v>
      </c>
      <c r="T2051" s="1">
        <v>150000</v>
      </c>
      <c r="U2051" s="1">
        <v>50000</v>
      </c>
      <c r="V2051" s="1">
        <v>0</v>
      </c>
      <c r="W2051" s="1">
        <v>50000</v>
      </c>
      <c r="X2051" s="1">
        <v>0</v>
      </c>
      <c r="Y2051" s="1">
        <v>0</v>
      </c>
      <c r="Z2051" s="1">
        <v>0</v>
      </c>
      <c r="AA2051" s="1">
        <v>0</v>
      </c>
      <c r="AB2051" s="1">
        <v>0</v>
      </c>
      <c r="AC2051" s="1">
        <v>0</v>
      </c>
      <c r="AD2051" s="1">
        <v>0</v>
      </c>
    </row>
    <row r="2052" spans="1:30" s="20" customFormat="1" ht="36" customHeight="1" x14ac:dyDescent="0.25">
      <c r="A2052" s="2">
        <f t="shared" si="1078"/>
        <v>1985</v>
      </c>
      <c r="B2052" s="3">
        <f t="shared" si="1079"/>
        <v>1985</v>
      </c>
      <c r="C2052" s="19" t="s">
        <v>1258</v>
      </c>
      <c r="D2052" s="4">
        <f t="shared" si="1099"/>
        <v>4184639.2</v>
      </c>
      <c r="E2052" s="1">
        <f t="shared" si="1080"/>
        <v>299329.2</v>
      </c>
      <c r="F2052" s="1">
        <f>804*372.3</f>
        <v>299329.2</v>
      </c>
      <c r="G2052" s="1">
        <v>0</v>
      </c>
      <c r="H2052" s="1">
        <v>0</v>
      </c>
      <c r="I2052" s="1">
        <v>0</v>
      </c>
      <c r="J2052" s="1">
        <v>0</v>
      </c>
      <c r="K2052" s="1">
        <v>0</v>
      </c>
      <c r="L2052" s="2">
        <v>0</v>
      </c>
      <c r="M2052" s="1">
        <v>0</v>
      </c>
      <c r="N2052" s="1">
        <v>310</v>
      </c>
      <c r="O2052" s="1">
        <f>N2052*7750</f>
        <v>2402500</v>
      </c>
      <c r="P2052" s="1">
        <v>50</v>
      </c>
      <c r="Q2052" s="1">
        <f t="shared" si="1081"/>
        <v>70000</v>
      </c>
      <c r="R2052" s="1">
        <v>310</v>
      </c>
      <c r="S2052" s="1">
        <f t="shared" si="1082"/>
        <v>1162810</v>
      </c>
      <c r="T2052" s="1">
        <v>150000</v>
      </c>
      <c r="U2052" s="1">
        <v>50000</v>
      </c>
      <c r="V2052" s="1">
        <v>0</v>
      </c>
      <c r="W2052" s="1">
        <v>50000</v>
      </c>
      <c r="X2052" s="1">
        <v>0</v>
      </c>
      <c r="Y2052" s="1">
        <v>0</v>
      </c>
      <c r="Z2052" s="1">
        <v>0</v>
      </c>
      <c r="AA2052" s="1">
        <v>0</v>
      </c>
      <c r="AB2052" s="1">
        <v>0</v>
      </c>
      <c r="AC2052" s="1">
        <v>0</v>
      </c>
      <c r="AD2052" s="1">
        <v>0</v>
      </c>
    </row>
    <row r="2053" spans="1:30" s="20" customFormat="1" ht="54.95" customHeight="1" x14ac:dyDescent="0.25">
      <c r="A2053" s="3"/>
      <c r="B2053" s="47" t="s">
        <v>1969</v>
      </c>
      <c r="C2053" s="48"/>
      <c r="D2053" s="4">
        <f>SUM(D2054)</f>
        <v>358832.48</v>
      </c>
      <c r="E2053" s="4">
        <f t="shared" ref="E2053:AD2053" si="1115">SUM(E2054)</f>
        <v>308832.48</v>
      </c>
      <c r="F2053" s="4">
        <f t="shared" si="1115"/>
        <v>308832.48</v>
      </c>
      <c r="G2053" s="4">
        <f t="shared" si="1115"/>
        <v>0</v>
      </c>
      <c r="H2053" s="4">
        <f t="shared" si="1115"/>
        <v>0</v>
      </c>
      <c r="I2053" s="4">
        <f t="shared" si="1115"/>
        <v>0</v>
      </c>
      <c r="J2053" s="4">
        <f t="shared" si="1115"/>
        <v>0</v>
      </c>
      <c r="K2053" s="4">
        <f t="shared" si="1115"/>
        <v>0</v>
      </c>
      <c r="L2053" s="17">
        <f t="shared" si="1115"/>
        <v>0</v>
      </c>
      <c r="M2053" s="4">
        <f t="shared" si="1115"/>
        <v>0</v>
      </c>
      <c r="N2053" s="4">
        <f t="shared" si="1115"/>
        <v>0</v>
      </c>
      <c r="O2053" s="4">
        <f t="shared" si="1115"/>
        <v>0</v>
      </c>
      <c r="P2053" s="4">
        <f t="shared" si="1115"/>
        <v>0</v>
      </c>
      <c r="Q2053" s="4">
        <f t="shared" si="1115"/>
        <v>0</v>
      </c>
      <c r="R2053" s="4">
        <f t="shared" si="1115"/>
        <v>0</v>
      </c>
      <c r="S2053" s="4">
        <f t="shared" si="1115"/>
        <v>0</v>
      </c>
      <c r="T2053" s="4">
        <f t="shared" si="1115"/>
        <v>0</v>
      </c>
      <c r="U2053" s="4">
        <f t="shared" si="1115"/>
        <v>50000</v>
      </c>
      <c r="V2053" s="4">
        <f t="shared" si="1115"/>
        <v>0</v>
      </c>
      <c r="W2053" s="4">
        <f t="shared" si="1115"/>
        <v>0</v>
      </c>
      <c r="X2053" s="4">
        <f t="shared" si="1115"/>
        <v>0</v>
      </c>
      <c r="Y2053" s="4">
        <f t="shared" si="1115"/>
        <v>0</v>
      </c>
      <c r="Z2053" s="4">
        <f t="shared" si="1115"/>
        <v>0</v>
      </c>
      <c r="AA2053" s="4">
        <f t="shared" si="1115"/>
        <v>0</v>
      </c>
      <c r="AB2053" s="4">
        <f t="shared" si="1115"/>
        <v>0</v>
      </c>
      <c r="AC2053" s="4">
        <f t="shared" si="1115"/>
        <v>0</v>
      </c>
      <c r="AD2053" s="4">
        <f t="shared" si="1115"/>
        <v>0</v>
      </c>
    </row>
    <row r="2054" spans="1:30" s="20" customFormat="1" ht="36" customHeight="1" x14ac:dyDescent="0.25">
      <c r="A2054" s="2">
        <f>ROW()-ROW($A$11)-57</f>
        <v>1986</v>
      </c>
      <c r="B2054" s="3">
        <f t="shared" ref="B2054:B2160" si="1116">A2054</f>
        <v>1986</v>
      </c>
      <c r="C2054" s="24" t="s">
        <v>1259</v>
      </c>
      <c r="D2054" s="4">
        <f>E2054+M2054+O2054+Q2054+S2054+T2054+U2054+V2054+W2054+X2054+Z2054+AA2054+AB2054+AC2054+AD2054</f>
        <v>358832.48</v>
      </c>
      <c r="E2054" s="1">
        <f>SUM(F2054:K2054)</f>
        <v>308832.48</v>
      </c>
      <c r="F2054" s="1">
        <f>804*384.12</f>
        <v>308832.48</v>
      </c>
      <c r="G2054" s="1">
        <v>0</v>
      </c>
      <c r="H2054" s="1">
        <v>0</v>
      </c>
      <c r="I2054" s="1">
        <v>0</v>
      </c>
      <c r="J2054" s="1">
        <v>0</v>
      </c>
      <c r="K2054" s="1">
        <v>0</v>
      </c>
      <c r="L2054" s="2">
        <v>0</v>
      </c>
      <c r="M2054" s="1">
        <v>0</v>
      </c>
      <c r="N2054" s="1">
        <v>0</v>
      </c>
      <c r="O2054" s="1">
        <v>0</v>
      </c>
      <c r="P2054" s="1">
        <v>0</v>
      </c>
      <c r="Q2054" s="1">
        <f>P2054*1400</f>
        <v>0</v>
      </c>
      <c r="R2054" s="1">
        <v>0</v>
      </c>
      <c r="S2054" s="1">
        <f>R2054*3751</f>
        <v>0</v>
      </c>
      <c r="T2054" s="1">
        <v>0</v>
      </c>
      <c r="U2054" s="1">
        <v>50000</v>
      </c>
      <c r="V2054" s="1">
        <v>0</v>
      </c>
      <c r="W2054" s="1">
        <v>0</v>
      </c>
      <c r="X2054" s="1">
        <v>0</v>
      </c>
      <c r="Y2054" s="1">
        <v>0</v>
      </c>
      <c r="Z2054" s="1">
        <v>0</v>
      </c>
      <c r="AA2054" s="1">
        <v>0</v>
      </c>
      <c r="AB2054" s="1">
        <v>0</v>
      </c>
      <c r="AC2054" s="1">
        <v>0</v>
      </c>
      <c r="AD2054" s="1">
        <v>0</v>
      </c>
    </row>
    <row r="2055" spans="1:30" s="20" customFormat="1" ht="54.95" customHeight="1" x14ac:dyDescent="0.25">
      <c r="A2055" s="3"/>
      <c r="B2055" s="47" t="s">
        <v>1970</v>
      </c>
      <c r="C2055" s="48"/>
      <c r="D2055" s="4">
        <f>SUM(D2056:D2064)</f>
        <v>34683426.650000006</v>
      </c>
      <c r="E2055" s="4">
        <f t="shared" ref="E2055:AD2055" si="1117">SUM(E2056:E2064)</f>
        <v>6513665.6499999994</v>
      </c>
      <c r="F2055" s="4">
        <f t="shared" si="1117"/>
        <v>3503389.8</v>
      </c>
      <c r="G2055" s="4">
        <f t="shared" si="1117"/>
        <v>0</v>
      </c>
      <c r="H2055" s="4">
        <f t="shared" si="1117"/>
        <v>1434127.5</v>
      </c>
      <c r="I2055" s="4">
        <f t="shared" si="1117"/>
        <v>0</v>
      </c>
      <c r="J2055" s="4">
        <f t="shared" si="1117"/>
        <v>1576148.35</v>
      </c>
      <c r="K2055" s="4">
        <f t="shared" si="1117"/>
        <v>0</v>
      </c>
      <c r="L2055" s="17">
        <f t="shared" si="1117"/>
        <v>0</v>
      </c>
      <c r="M2055" s="4">
        <f t="shared" si="1117"/>
        <v>0</v>
      </c>
      <c r="N2055" s="4">
        <f t="shared" si="1117"/>
        <v>2367</v>
      </c>
      <c r="O2055" s="4">
        <f t="shared" si="1117"/>
        <v>16210456</v>
      </c>
      <c r="P2055" s="4">
        <f t="shared" si="1117"/>
        <v>0</v>
      </c>
      <c r="Q2055" s="4">
        <f t="shared" si="1117"/>
        <v>0</v>
      </c>
      <c r="R2055" s="4">
        <f t="shared" si="1117"/>
        <v>3055</v>
      </c>
      <c r="S2055" s="4">
        <f t="shared" si="1117"/>
        <v>11459305</v>
      </c>
      <c r="T2055" s="4">
        <f t="shared" si="1117"/>
        <v>0</v>
      </c>
      <c r="U2055" s="4">
        <f t="shared" si="1117"/>
        <v>350000</v>
      </c>
      <c r="V2055" s="4">
        <f t="shared" si="1117"/>
        <v>0</v>
      </c>
      <c r="W2055" s="4">
        <f t="shared" si="1117"/>
        <v>150000</v>
      </c>
      <c r="X2055" s="4">
        <f t="shared" si="1117"/>
        <v>0</v>
      </c>
      <c r="Y2055" s="4">
        <f t="shared" si="1117"/>
        <v>0</v>
      </c>
      <c r="Z2055" s="4">
        <f t="shared" si="1117"/>
        <v>0</v>
      </c>
      <c r="AA2055" s="4">
        <f t="shared" si="1117"/>
        <v>0</v>
      </c>
      <c r="AB2055" s="4">
        <f t="shared" si="1117"/>
        <v>0</v>
      </c>
      <c r="AC2055" s="4">
        <f t="shared" si="1117"/>
        <v>0</v>
      </c>
      <c r="AD2055" s="4">
        <f t="shared" si="1117"/>
        <v>0</v>
      </c>
    </row>
    <row r="2056" spans="1:30" s="20" customFormat="1" ht="36" customHeight="1" x14ac:dyDescent="0.25">
      <c r="A2056" s="2">
        <f t="shared" ref="A2056:A2064" si="1118">ROW()-ROW($A$11)-58</f>
        <v>1987</v>
      </c>
      <c r="B2056" s="3">
        <f t="shared" si="1116"/>
        <v>1987</v>
      </c>
      <c r="C2056" s="19" t="s">
        <v>1261</v>
      </c>
      <c r="D2056" s="4">
        <f t="shared" ref="D2056:D2064" si="1119">E2056+M2056+O2056+Q2056+S2056+T2056+U2056+V2056+W2056+X2056+Z2056+AA2056+AB2056+AC2056+AD2056</f>
        <v>8588859.2400000002</v>
      </c>
      <c r="E2056" s="1">
        <f t="shared" ref="E2056:E2064" si="1120">SUM(F2056:K2056)</f>
        <v>1723852.24</v>
      </c>
      <c r="F2056" s="1">
        <f>804*1037.84</f>
        <v>834423.36</v>
      </c>
      <c r="G2056" s="1">
        <v>0</v>
      </c>
      <c r="H2056" s="1">
        <f>390*1037.84</f>
        <v>404757.6</v>
      </c>
      <c r="I2056" s="1">
        <v>0</v>
      </c>
      <c r="J2056" s="1">
        <f>467*1037.84</f>
        <v>484671.27999999997</v>
      </c>
      <c r="K2056" s="1">
        <v>0</v>
      </c>
      <c r="L2056" s="2">
        <v>0</v>
      </c>
      <c r="M2056" s="1">
        <v>0</v>
      </c>
      <c r="N2056" s="1">
        <v>767</v>
      </c>
      <c r="O2056" s="1">
        <f>N2056*4968</f>
        <v>3810456</v>
      </c>
      <c r="P2056" s="1">
        <v>0</v>
      </c>
      <c r="Q2056" s="1">
        <f t="shared" ref="Q2056:Q2064" si="1121">P2056*1400</f>
        <v>0</v>
      </c>
      <c r="R2056" s="1">
        <v>801</v>
      </c>
      <c r="S2056" s="1">
        <f>R2056*3751</f>
        <v>3004551</v>
      </c>
      <c r="T2056" s="1">
        <v>0</v>
      </c>
      <c r="U2056" s="1">
        <v>50000</v>
      </c>
      <c r="V2056" s="1">
        <v>0</v>
      </c>
      <c r="W2056" s="1">
        <v>0</v>
      </c>
      <c r="X2056" s="1">
        <v>0</v>
      </c>
      <c r="Y2056" s="1">
        <v>0</v>
      </c>
      <c r="Z2056" s="1">
        <v>0</v>
      </c>
      <c r="AA2056" s="1">
        <v>0</v>
      </c>
      <c r="AB2056" s="1">
        <v>0</v>
      </c>
      <c r="AC2056" s="1">
        <v>0</v>
      </c>
      <c r="AD2056" s="1">
        <v>0</v>
      </c>
    </row>
    <row r="2057" spans="1:30" s="20" customFormat="1" ht="36" customHeight="1" x14ac:dyDescent="0.25">
      <c r="A2057" s="2">
        <f>ROW()-ROW($A$11)-58</f>
        <v>1988</v>
      </c>
      <c r="B2057" s="3">
        <f>A2057</f>
        <v>1988</v>
      </c>
      <c r="C2057" s="19" t="s">
        <v>1260</v>
      </c>
      <c r="D2057" s="4">
        <f t="shared" si="1119"/>
        <v>167858</v>
      </c>
      <c r="E2057" s="1">
        <f>SUM(F2057:K2057)</f>
        <v>117858</v>
      </c>
      <c r="F2057" s="1">
        <v>0</v>
      </c>
      <c r="G2057" s="1">
        <v>0</v>
      </c>
      <c r="H2057" s="1">
        <f>390*302.2</f>
        <v>117858</v>
      </c>
      <c r="I2057" s="1">
        <v>0</v>
      </c>
      <c r="J2057" s="1">
        <v>0</v>
      </c>
      <c r="K2057" s="1">
        <v>0</v>
      </c>
      <c r="L2057" s="2">
        <v>0</v>
      </c>
      <c r="M2057" s="1">
        <v>0</v>
      </c>
      <c r="N2057" s="1">
        <v>0</v>
      </c>
      <c r="O2057" s="1">
        <v>0</v>
      </c>
      <c r="P2057" s="1">
        <v>0</v>
      </c>
      <c r="Q2057" s="1">
        <f>P2057*1400</f>
        <v>0</v>
      </c>
      <c r="R2057" s="1">
        <v>0</v>
      </c>
      <c r="S2057" s="1">
        <f>R2057*3751</f>
        <v>0</v>
      </c>
      <c r="T2057" s="1">
        <v>0</v>
      </c>
      <c r="U2057" s="1">
        <v>50000</v>
      </c>
      <c r="V2057" s="1">
        <v>0</v>
      </c>
      <c r="W2057" s="1">
        <v>0</v>
      </c>
      <c r="X2057" s="1">
        <v>0</v>
      </c>
      <c r="Y2057" s="1">
        <v>0</v>
      </c>
      <c r="Z2057" s="1">
        <v>0</v>
      </c>
      <c r="AA2057" s="1">
        <v>0</v>
      </c>
      <c r="AB2057" s="1">
        <v>0</v>
      </c>
      <c r="AC2057" s="1">
        <v>0</v>
      </c>
      <c r="AD2057" s="1">
        <v>0</v>
      </c>
    </row>
    <row r="2058" spans="1:30" s="20" customFormat="1" ht="36" customHeight="1" x14ac:dyDescent="0.25">
      <c r="A2058" s="2">
        <f t="shared" si="1118"/>
        <v>1989</v>
      </c>
      <c r="B2058" s="3">
        <f>A2058</f>
        <v>1989</v>
      </c>
      <c r="C2058" s="19" t="s">
        <v>1774</v>
      </c>
      <c r="D2058" s="4">
        <f t="shared" si="1119"/>
        <v>4072042.31</v>
      </c>
      <c r="E2058" s="1">
        <f t="shared" si="1120"/>
        <v>554292.30999999994</v>
      </c>
      <c r="F2058" s="1">
        <f>804*333.71</f>
        <v>268302.83999999997</v>
      </c>
      <c r="G2058" s="1">
        <v>0</v>
      </c>
      <c r="H2058" s="1">
        <f>390*333.71</f>
        <v>130146.9</v>
      </c>
      <c r="I2058" s="1">
        <v>0</v>
      </c>
      <c r="J2058" s="1">
        <f>467*333.71</f>
        <v>155842.56999999998</v>
      </c>
      <c r="K2058" s="1">
        <v>0</v>
      </c>
      <c r="L2058" s="2">
        <v>0</v>
      </c>
      <c r="M2058" s="1">
        <v>0</v>
      </c>
      <c r="N2058" s="1">
        <v>320</v>
      </c>
      <c r="O2058" s="1">
        <f>N2058*7750</f>
        <v>2480000</v>
      </c>
      <c r="P2058" s="1">
        <v>0</v>
      </c>
      <c r="Q2058" s="1">
        <f t="shared" si="1121"/>
        <v>0</v>
      </c>
      <c r="R2058" s="1">
        <v>250</v>
      </c>
      <c r="S2058" s="1">
        <f>R2058*3751</f>
        <v>937750</v>
      </c>
      <c r="T2058" s="1">
        <v>0</v>
      </c>
      <c r="U2058" s="1">
        <v>50000</v>
      </c>
      <c r="V2058" s="1">
        <v>0</v>
      </c>
      <c r="W2058" s="1">
        <v>50000</v>
      </c>
      <c r="X2058" s="1">
        <v>0</v>
      </c>
      <c r="Y2058" s="1">
        <v>0</v>
      </c>
      <c r="Z2058" s="1">
        <v>0</v>
      </c>
      <c r="AA2058" s="1">
        <v>0</v>
      </c>
      <c r="AB2058" s="1">
        <v>0</v>
      </c>
      <c r="AC2058" s="1">
        <v>0</v>
      </c>
      <c r="AD2058" s="1">
        <v>0</v>
      </c>
    </row>
    <row r="2059" spans="1:30" s="20" customFormat="1" ht="36" customHeight="1" x14ac:dyDescent="0.25">
      <c r="A2059" s="2">
        <f t="shared" si="1118"/>
        <v>1990</v>
      </c>
      <c r="B2059" s="3">
        <f t="shared" ref="B2059" si="1122">A2059</f>
        <v>1990</v>
      </c>
      <c r="C2059" s="19" t="s">
        <v>2046</v>
      </c>
      <c r="D2059" s="4">
        <f t="shared" si="1119"/>
        <v>7257500</v>
      </c>
      <c r="E2059" s="1">
        <f t="shared" si="1120"/>
        <v>0</v>
      </c>
      <c r="F2059" s="1">
        <v>0</v>
      </c>
      <c r="G2059" s="1">
        <v>0</v>
      </c>
      <c r="H2059" s="1">
        <v>0</v>
      </c>
      <c r="I2059" s="1">
        <v>0</v>
      </c>
      <c r="J2059" s="1">
        <v>0</v>
      </c>
      <c r="K2059" s="1">
        <v>0</v>
      </c>
      <c r="L2059" s="2">
        <v>0</v>
      </c>
      <c r="M2059" s="1">
        <v>0</v>
      </c>
      <c r="N2059" s="1">
        <v>930</v>
      </c>
      <c r="O2059" s="1">
        <f>N2059*7750</f>
        <v>7207500</v>
      </c>
      <c r="P2059" s="1">
        <v>0</v>
      </c>
      <c r="Q2059" s="1">
        <f t="shared" si="1121"/>
        <v>0</v>
      </c>
      <c r="R2059" s="1">
        <v>0</v>
      </c>
      <c r="S2059" s="1">
        <f>R2059*3751</f>
        <v>0</v>
      </c>
      <c r="T2059" s="1">
        <v>0</v>
      </c>
      <c r="U2059" s="1">
        <v>50000</v>
      </c>
      <c r="V2059" s="1">
        <v>0</v>
      </c>
      <c r="W2059" s="1">
        <v>0</v>
      </c>
      <c r="X2059" s="1">
        <v>0</v>
      </c>
      <c r="Y2059" s="1">
        <v>0</v>
      </c>
      <c r="Z2059" s="1">
        <v>0</v>
      </c>
      <c r="AA2059" s="1">
        <v>0</v>
      </c>
      <c r="AB2059" s="1">
        <v>0</v>
      </c>
      <c r="AC2059" s="1">
        <v>0</v>
      </c>
      <c r="AD2059" s="1">
        <v>0</v>
      </c>
    </row>
    <row r="2060" spans="1:30" s="21" customFormat="1" ht="35.1" customHeight="1" x14ac:dyDescent="0.25">
      <c r="A2060" s="2">
        <f t="shared" si="1118"/>
        <v>1991</v>
      </c>
      <c r="B2060" s="6">
        <f>A2060</f>
        <v>1991</v>
      </c>
      <c r="C2060" s="19" t="s">
        <v>1775</v>
      </c>
      <c r="D2060" s="8">
        <f t="shared" si="1119"/>
        <v>2762500</v>
      </c>
      <c r="E2060" s="1">
        <f t="shared" si="1120"/>
        <v>0</v>
      </c>
      <c r="F2060" s="1">
        <v>0</v>
      </c>
      <c r="G2060" s="1">
        <v>0</v>
      </c>
      <c r="H2060" s="1">
        <v>0</v>
      </c>
      <c r="I2060" s="1">
        <v>0</v>
      </c>
      <c r="J2060" s="1">
        <v>0</v>
      </c>
      <c r="K2060" s="1">
        <v>0</v>
      </c>
      <c r="L2060" s="2">
        <v>0</v>
      </c>
      <c r="M2060" s="1">
        <v>0</v>
      </c>
      <c r="N2060" s="1">
        <v>350</v>
      </c>
      <c r="O2060" s="1">
        <f>N2060*7750</f>
        <v>2712500</v>
      </c>
      <c r="P2060" s="1">
        <v>0</v>
      </c>
      <c r="Q2060" s="1">
        <f t="shared" si="1121"/>
        <v>0</v>
      </c>
      <c r="R2060" s="1">
        <v>0</v>
      </c>
      <c r="S2060" s="1">
        <v>0</v>
      </c>
      <c r="T2060" s="1">
        <v>0</v>
      </c>
      <c r="U2060" s="1">
        <v>0</v>
      </c>
      <c r="V2060" s="1">
        <v>0</v>
      </c>
      <c r="W2060" s="1">
        <v>50000</v>
      </c>
      <c r="X2060" s="1">
        <v>0</v>
      </c>
      <c r="Y2060" s="1">
        <v>0</v>
      </c>
      <c r="Z2060" s="1">
        <v>0</v>
      </c>
      <c r="AA2060" s="1">
        <v>0</v>
      </c>
      <c r="AB2060" s="1">
        <v>0</v>
      </c>
      <c r="AC2060" s="1">
        <v>0</v>
      </c>
      <c r="AD2060" s="1">
        <v>0</v>
      </c>
    </row>
    <row r="2061" spans="1:30" s="20" customFormat="1" ht="36" customHeight="1" x14ac:dyDescent="0.25">
      <c r="A2061" s="2">
        <f t="shared" si="1118"/>
        <v>1992</v>
      </c>
      <c r="B2061" s="3">
        <f t="shared" si="1116"/>
        <v>1992</v>
      </c>
      <c r="C2061" s="19" t="s">
        <v>1263</v>
      </c>
      <c r="D2061" s="4">
        <f t="shared" si="1119"/>
        <v>4719252</v>
      </c>
      <c r="E2061" s="1">
        <f t="shared" si="1120"/>
        <v>1670966</v>
      </c>
      <c r="F2061" s="1">
        <f>804*1006</f>
        <v>808824</v>
      </c>
      <c r="G2061" s="1">
        <v>0</v>
      </c>
      <c r="H2061" s="1">
        <f>390*1006</f>
        <v>392340</v>
      </c>
      <c r="I2061" s="1">
        <v>0</v>
      </c>
      <c r="J2061" s="1">
        <f>467*1006</f>
        <v>469802</v>
      </c>
      <c r="K2061" s="1">
        <v>0</v>
      </c>
      <c r="L2061" s="2">
        <v>0</v>
      </c>
      <c r="M2061" s="1">
        <v>0</v>
      </c>
      <c r="N2061" s="1">
        <v>0</v>
      </c>
      <c r="O2061" s="1">
        <v>0</v>
      </c>
      <c r="P2061" s="1">
        <v>0</v>
      </c>
      <c r="Q2061" s="1">
        <f t="shared" si="1121"/>
        <v>0</v>
      </c>
      <c r="R2061" s="1">
        <v>786</v>
      </c>
      <c r="S2061" s="1">
        <f>R2061*3751</f>
        <v>2948286</v>
      </c>
      <c r="T2061" s="1">
        <v>0</v>
      </c>
      <c r="U2061" s="1">
        <v>50000</v>
      </c>
      <c r="V2061" s="1">
        <v>0</v>
      </c>
      <c r="W2061" s="1">
        <v>50000</v>
      </c>
      <c r="X2061" s="1">
        <v>0</v>
      </c>
      <c r="Y2061" s="1">
        <v>0</v>
      </c>
      <c r="Z2061" s="1">
        <v>0</v>
      </c>
      <c r="AA2061" s="1">
        <v>0</v>
      </c>
      <c r="AB2061" s="1">
        <v>0</v>
      </c>
      <c r="AC2061" s="1">
        <v>0</v>
      </c>
      <c r="AD2061" s="1">
        <v>0</v>
      </c>
    </row>
    <row r="2062" spans="1:30" s="20" customFormat="1" ht="36" customHeight="1" x14ac:dyDescent="0.25">
      <c r="A2062" s="2">
        <f t="shared" si="1118"/>
        <v>1993</v>
      </c>
      <c r="B2062" s="3">
        <f t="shared" ref="B2062:B2063" si="1123">A2062</f>
        <v>1993</v>
      </c>
      <c r="C2062" s="19" t="s">
        <v>2047</v>
      </c>
      <c r="D2062" s="4">
        <f t="shared" si="1119"/>
        <v>3870657.6</v>
      </c>
      <c r="E2062" s="1">
        <f t="shared" si="1120"/>
        <v>789849.59999999998</v>
      </c>
      <c r="F2062" s="1">
        <f>804*982.4</f>
        <v>789849.59999999998</v>
      </c>
      <c r="G2062" s="1">
        <v>0</v>
      </c>
      <c r="H2062" s="1">
        <v>0</v>
      </c>
      <c r="I2062" s="1">
        <v>0</v>
      </c>
      <c r="J2062" s="1">
        <v>0</v>
      </c>
      <c r="K2062" s="1">
        <v>0</v>
      </c>
      <c r="L2062" s="2">
        <v>0</v>
      </c>
      <c r="M2062" s="1">
        <v>0</v>
      </c>
      <c r="N2062" s="1">
        <v>0</v>
      </c>
      <c r="O2062" s="1">
        <v>0</v>
      </c>
      <c r="P2062" s="1">
        <v>0</v>
      </c>
      <c r="Q2062" s="1">
        <f t="shared" si="1121"/>
        <v>0</v>
      </c>
      <c r="R2062" s="1">
        <v>808</v>
      </c>
      <c r="S2062" s="1">
        <f>R2062*3751</f>
        <v>3030808</v>
      </c>
      <c r="T2062" s="1">
        <v>0</v>
      </c>
      <c r="U2062" s="1">
        <v>50000</v>
      </c>
      <c r="V2062" s="1">
        <v>0</v>
      </c>
      <c r="W2062" s="1">
        <v>0</v>
      </c>
      <c r="X2062" s="1">
        <v>0</v>
      </c>
      <c r="Y2062" s="1">
        <v>0</v>
      </c>
      <c r="Z2062" s="1">
        <v>0</v>
      </c>
      <c r="AA2062" s="1">
        <v>0</v>
      </c>
      <c r="AB2062" s="1">
        <v>0</v>
      </c>
      <c r="AC2062" s="1">
        <v>0</v>
      </c>
      <c r="AD2062" s="1">
        <v>0</v>
      </c>
    </row>
    <row r="2063" spans="1:30" s="20" customFormat="1" ht="36" customHeight="1" x14ac:dyDescent="0.25">
      <c r="A2063" s="2">
        <f t="shared" si="1118"/>
        <v>1994</v>
      </c>
      <c r="B2063" s="3">
        <f t="shared" si="1123"/>
        <v>1994</v>
      </c>
      <c r="C2063" s="19" t="s">
        <v>2048</v>
      </c>
      <c r="D2063" s="4">
        <f t="shared" si="1119"/>
        <v>1706847.5</v>
      </c>
      <c r="E2063" s="1">
        <f t="shared" si="1120"/>
        <v>1656847.5</v>
      </c>
      <c r="F2063" s="1">
        <f>804*997.5</f>
        <v>801990</v>
      </c>
      <c r="G2063" s="1">
        <v>0</v>
      </c>
      <c r="H2063" s="1">
        <f>390*997.5</f>
        <v>389025</v>
      </c>
      <c r="I2063" s="1">
        <v>0</v>
      </c>
      <c r="J2063" s="1">
        <f>467*997.5</f>
        <v>465832.5</v>
      </c>
      <c r="K2063" s="1">
        <v>0</v>
      </c>
      <c r="L2063" s="2">
        <v>0</v>
      </c>
      <c r="M2063" s="1">
        <v>0</v>
      </c>
      <c r="N2063" s="1">
        <v>0</v>
      </c>
      <c r="O2063" s="1">
        <v>0</v>
      </c>
      <c r="P2063" s="1">
        <v>0</v>
      </c>
      <c r="Q2063" s="1">
        <f t="shared" si="1121"/>
        <v>0</v>
      </c>
      <c r="R2063" s="1">
        <v>0</v>
      </c>
      <c r="S2063" s="1">
        <f>R2063*3751</f>
        <v>0</v>
      </c>
      <c r="T2063" s="1">
        <v>0</v>
      </c>
      <c r="U2063" s="1">
        <v>50000</v>
      </c>
      <c r="V2063" s="1">
        <v>0</v>
      </c>
      <c r="W2063" s="1">
        <v>0</v>
      </c>
      <c r="X2063" s="1">
        <v>0</v>
      </c>
      <c r="Y2063" s="1">
        <v>0</v>
      </c>
      <c r="Z2063" s="1">
        <v>0</v>
      </c>
      <c r="AA2063" s="1">
        <v>0</v>
      </c>
      <c r="AB2063" s="1">
        <v>0</v>
      </c>
      <c r="AC2063" s="1">
        <v>0</v>
      </c>
      <c r="AD2063" s="1">
        <v>0</v>
      </c>
    </row>
    <row r="2064" spans="1:30" s="20" customFormat="1" ht="36" customHeight="1" x14ac:dyDescent="0.25">
      <c r="A2064" s="2">
        <f t="shared" si="1118"/>
        <v>1995</v>
      </c>
      <c r="B2064" s="3">
        <f t="shared" si="1116"/>
        <v>1995</v>
      </c>
      <c r="C2064" s="19" t="s">
        <v>2049</v>
      </c>
      <c r="D2064" s="4">
        <f t="shared" si="1119"/>
        <v>1537910</v>
      </c>
      <c r="E2064" s="1">
        <f t="shared" si="1120"/>
        <v>0</v>
      </c>
      <c r="F2064" s="1">
        <v>0</v>
      </c>
      <c r="G2064" s="1">
        <v>0</v>
      </c>
      <c r="H2064" s="1">
        <v>0</v>
      </c>
      <c r="I2064" s="1">
        <v>0</v>
      </c>
      <c r="J2064" s="1">
        <v>0</v>
      </c>
      <c r="K2064" s="1">
        <v>0</v>
      </c>
      <c r="L2064" s="2">
        <v>0</v>
      </c>
      <c r="M2064" s="1">
        <v>0</v>
      </c>
      <c r="N2064" s="1">
        <v>0</v>
      </c>
      <c r="O2064" s="1">
        <v>0</v>
      </c>
      <c r="P2064" s="1">
        <v>0</v>
      </c>
      <c r="Q2064" s="1">
        <f t="shared" si="1121"/>
        <v>0</v>
      </c>
      <c r="R2064" s="1">
        <v>410</v>
      </c>
      <c r="S2064" s="1">
        <f>R2064*3751</f>
        <v>1537910</v>
      </c>
      <c r="T2064" s="1">
        <v>0</v>
      </c>
      <c r="U2064" s="1">
        <v>0</v>
      </c>
      <c r="V2064" s="1">
        <v>0</v>
      </c>
      <c r="W2064" s="1">
        <v>0</v>
      </c>
      <c r="X2064" s="1">
        <v>0</v>
      </c>
      <c r="Y2064" s="1">
        <v>0</v>
      </c>
      <c r="Z2064" s="1">
        <v>0</v>
      </c>
      <c r="AA2064" s="1">
        <v>0</v>
      </c>
      <c r="AB2064" s="1">
        <v>0</v>
      </c>
      <c r="AC2064" s="1">
        <v>0</v>
      </c>
      <c r="AD2064" s="1">
        <v>0</v>
      </c>
    </row>
    <row r="2065" spans="1:30" s="20" customFormat="1" ht="54.95" customHeight="1" x14ac:dyDescent="0.25">
      <c r="A2065" s="3"/>
      <c r="B2065" s="47" t="s">
        <v>1994</v>
      </c>
      <c r="C2065" s="48"/>
      <c r="D2065" s="4">
        <f>SUM(D2066:D2096)</f>
        <v>283493200</v>
      </c>
      <c r="E2065" s="4">
        <f t="shared" ref="E2065:AD2065" si="1124">SUM(E2066:E2096)</f>
        <v>0</v>
      </c>
      <c r="F2065" s="4">
        <f t="shared" si="1124"/>
        <v>0</v>
      </c>
      <c r="G2065" s="4">
        <f t="shared" si="1124"/>
        <v>0</v>
      </c>
      <c r="H2065" s="4">
        <f t="shared" si="1124"/>
        <v>0</v>
      </c>
      <c r="I2065" s="4">
        <f t="shared" si="1124"/>
        <v>0</v>
      </c>
      <c r="J2065" s="4">
        <f t="shared" si="1124"/>
        <v>0</v>
      </c>
      <c r="K2065" s="4">
        <f t="shared" si="1124"/>
        <v>0</v>
      </c>
      <c r="L2065" s="17">
        <f t="shared" si="1124"/>
        <v>74</v>
      </c>
      <c r="M2065" s="4">
        <f t="shared" si="1124"/>
        <v>259000000</v>
      </c>
      <c r="N2065" s="4">
        <f t="shared" si="1124"/>
        <v>3650</v>
      </c>
      <c r="O2065" s="4">
        <f t="shared" si="1124"/>
        <v>18133200</v>
      </c>
      <c r="P2065" s="4">
        <f t="shared" si="1124"/>
        <v>400</v>
      </c>
      <c r="Q2065" s="4">
        <f t="shared" si="1124"/>
        <v>560000</v>
      </c>
      <c r="R2065" s="4">
        <f t="shared" si="1124"/>
        <v>0</v>
      </c>
      <c r="S2065" s="4">
        <f t="shared" si="1124"/>
        <v>0</v>
      </c>
      <c r="T2065" s="4">
        <f t="shared" si="1124"/>
        <v>0</v>
      </c>
      <c r="U2065" s="4">
        <f t="shared" si="1124"/>
        <v>5800000</v>
      </c>
      <c r="V2065" s="4">
        <f t="shared" si="1124"/>
        <v>0</v>
      </c>
      <c r="W2065" s="4">
        <f t="shared" si="1124"/>
        <v>0</v>
      </c>
      <c r="X2065" s="4">
        <f t="shared" si="1124"/>
        <v>0</v>
      </c>
      <c r="Y2065" s="4">
        <f t="shared" si="1124"/>
        <v>0</v>
      </c>
      <c r="Z2065" s="4">
        <f t="shared" si="1124"/>
        <v>0</v>
      </c>
      <c r="AA2065" s="4">
        <f t="shared" si="1124"/>
        <v>0</v>
      </c>
      <c r="AB2065" s="4">
        <f t="shared" si="1124"/>
        <v>0</v>
      </c>
      <c r="AC2065" s="4">
        <f t="shared" si="1124"/>
        <v>0</v>
      </c>
      <c r="AD2065" s="4">
        <f t="shared" si="1124"/>
        <v>0</v>
      </c>
    </row>
    <row r="2066" spans="1:30" s="20" customFormat="1" ht="36" customHeight="1" x14ac:dyDescent="0.25">
      <c r="A2066" s="2">
        <f t="shared" ref="A2066:A2096" si="1125">ROW()-ROW($A$11)-59</f>
        <v>1996</v>
      </c>
      <c r="B2066" s="2">
        <f t="shared" ref="B2066" si="1126">A2066</f>
        <v>1996</v>
      </c>
      <c r="C2066" s="19" t="s">
        <v>2052</v>
      </c>
      <c r="D2066" s="39">
        <f t="shared" ref="D2066:D2096" si="1127">E2066+M2066+O2066+Q2066+S2066+T2066+U2066+V2066+W2066+X2066+Z2066+AA2066+AB2066+AC2066+AD2066</f>
        <v>9172720</v>
      </c>
      <c r="E2066" s="1">
        <f>SUM(F2066:K2066)</f>
        <v>0</v>
      </c>
      <c r="F2066" s="1">
        <v>0</v>
      </c>
      <c r="G2066" s="1">
        <v>0</v>
      </c>
      <c r="H2066" s="1">
        <v>0</v>
      </c>
      <c r="I2066" s="1">
        <v>0</v>
      </c>
      <c r="J2066" s="1">
        <v>0</v>
      </c>
      <c r="K2066" s="1">
        <v>0</v>
      </c>
      <c r="L2066" s="2">
        <v>0</v>
      </c>
      <c r="M2066" s="1">
        <v>0</v>
      </c>
      <c r="N2066" s="1">
        <v>1790</v>
      </c>
      <c r="O2066" s="1">
        <f>N2066*4968</f>
        <v>8892720</v>
      </c>
      <c r="P2066" s="1">
        <v>200</v>
      </c>
      <c r="Q2066" s="1">
        <f>P2066*1400</f>
        <v>280000</v>
      </c>
      <c r="R2066" s="1">
        <v>0</v>
      </c>
      <c r="S2066" s="1">
        <f>R2066*3751</f>
        <v>0</v>
      </c>
      <c r="T2066" s="1">
        <v>0</v>
      </c>
      <c r="U2066" s="1">
        <v>0</v>
      </c>
      <c r="V2066" s="1">
        <v>0</v>
      </c>
      <c r="W2066" s="1">
        <v>0</v>
      </c>
      <c r="X2066" s="1">
        <v>0</v>
      </c>
      <c r="Y2066" s="1">
        <v>0</v>
      </c>
      <c r="Z2066" s="1">
        <v>0</v>
      </c>
      <c r="AA2066" s="1">
        <v>0</v>
      </c>
      <c r="AB2066" s="1">
        <v>0</v>
      </c>
      <c r="AC2066" s="1">
        <v>0</v>
      </c>
      <c r="AD2066" s="1">
        <v>0</v>
      </c>
    </row>
    <row r="2067" spans="1:30" s="20" customFormat="1" ht="36" customHeight="1" x14ac:dyDescent="0.25">
      <c r="A2067" s="2">
        <f t="shared" si="1125"/>
        <v>1997</v>
      </c>
      <c r="B2067" s="3">
        <f t="shared" si="1116"/>
        <v>1997</v>
      </c>
      <c r="C2067" s="19" t="s">
        <v>2051</v>
      </c>
      <c r="D2067" s="4">
        <f t="shared" si="1127"/>
        <v>9520480</v>
      </c>
      <c r="E2067" s="1">
        <f>SUM(F2067:K2067)</f>
        <v>0</v>
      </c>
      <c r="F2067" s="1">
        <v>0</v>
      </c>
      <c r="G2067" s="1">
        <v>0</v>
      </c>
      <c r="H2067" s="1">
        <v>0</v>
      </c>
      <c r="I2067" s="1">
        <v>0</v>
      </c>
      <c r="J2067" s="1">
        <v>0</v>
      </c>
      <c r="K2067" s="1">
        <v>0</v>
      </c>
      <c r="L2067" s="2">
        <v>0</v>
      </c>
      <c r="M2067" s="1">
        <v>0</v>
      </c>
      <c r="N2067" s="1">
        <v>1860</v>
      </c>
      <c r="O2067" s="1">
        <f>N2067*4968</f>
        <v>9240480</v>
      </c>
      <c r="P2067" s="1">
        <v>200</v>
      </c>
      <c r="Q2067" s="1">
        <f>P2067*1400</f>
        <v>280000</v>
      </c>
      <c r="R2067" s="1">
        <v>0</v>
      </c>
      <c r="S2067" s="1">
        <f>R2067*3751</f>
        <v>0</v>
      </c>
      <c r="T2067" s="1">
        <v>0</v>
      </c>
      <c r="U2067" s="1">
        <v>0</v>
      </c>
      <c r="V2067" s="1">
        <v>0</v>
      </c>
      <c r="W2067" s="1">
        <v>0</v>
      </c>
      <c r="X2067" s="1">
        <v>0</v>
      </c>
      <c r="Y2067" s="1">
        <v>0</v>
      </c>
      <c r="Z2067" s="1">
        <v>0</v>
      </c>
      <c r="AA2067" s="1">
        <v>0</v>
      </c>
      <c r="AB2067" s="1">
        <v>0</v>
      </c>
      <c r="AC2067" s="1">
        <v>0</v>
      </c>
      <c r="AD2067" s="1">
        <v>0</v>
      </c>
    </row>
    <row r="2068" spans="1:30" s="20" customFormat="1" ht="36" customHeight="1" x14ac:dyDescent="0.25">
      <c r="A2068" s="2">
        <f t="shared" si="1125"/>
        <v>1998</v>
      </c>
      <c r="B2068" s="6">
        <f t="shared" si="1116"/>
        <v>1998</v>
      </c>
      <c r="C2068" s="19" t="s">
        <v>1906</v>
      </c>
      <c r="D2068" s="4">
        <f t="shared" si="1127"/>
        <v>7200000</v>
      </c>
      <c r="E2068" s="1">
        <f t="shared" ref="E2068:E2075" si="1128">SUM(F2068:K2068)</f>
        <v>0</v>
      </c>
      <c r="F2068" s="1">
        <v>0</v>
      </c>
      <c r="G2068" s="1">
        <v>0</v>
      </c>
      <c r="H2068" s="1">
        <v>0</v>
      </c>
      <c r="I2068" s="1">
        <v>0</v>
      </c>
      <c r="J2068" s="1">
        <v>0</v>
      </c>
      <c r="K2068" s="1">
        <v>0</v>
      </c>
      <c r="L2068" s="2">
        <v>2</v>
      </c>
      <c r="M2068" s="1">
        <f t="shared" ref="M2068:M2096" si="1129">L2068*3500000</f>
        <v>7000000</v>
      </c>
      <c r="N2068" s="1">
        <v>0</v>
      </c>
      <c r="O2068" s="1">
        <v>0</v>
      </c>
      <c r="P2068" s="1">
        <v>0</v>
      </c>
      <c r="Q2068" s="1">
        <f t="shared" ref="Q2068:Q2075" si="1130">P2068*1400</f>
        <v>0</v>
      </c>
      <c r="R2068" s="1">
        <v>0</v>
      </c>
      <c r="S2068" s="1">
        <f t="shared" ref="S2068:S2075" si="1131">R2068*3751</f>
        <v>0</v>
      </c>
      <c r="T2068" s="1">
        <v>0</v>
      </c>
      <c r="U2068" s="1">
        <v>200000</v>
      </c>
      <c r="V2068" s="1">
        <v>0</v>
      </c>
      <c r="W2068" s="1">
        <v>0</v>
      </c>
      <c r="X2068" s="1">
        <v>0</v>
      </c>
      <c r="Y2068" s="1">
        <v>0</v>
      </c>
      <c r="Z2068" s="1">
        <v>0</v>
      </c>
      <c r="AA2068" s="1">
        <v>0</v>
      </c>
      <c r="AB2068" s="1">
        <v>0</v>
      </c>
      <c r="AC2068" s="1">
        <v>0</v>
      </c>
      <c r="AD2068" s="1">
        <v>0</v>
      </c>
    </row>
    <row r="2069" spans="1:30" s="20" customFormat="1" ht="36" customHeight="1" x14ac:dyDescent="0.25">
      <c r="A2069" s="2">
        <f t="shared" si="1125"/>
        <v>1999</v>
      </c>
      <c r="B2069" s="6">
        <f t="shared" ref="B2069:B2074" si="1132">A2069</f>
        <v>1999</v>
      </c>
      <c r="C2069" s="19" t="s">
        <v>1910</v>
      </c>
      <c r="D2069" s="4">
        <f t="shared" si="1127"/>
        <v>7200000</v>
      </c>
      <c r="E2069" s="1">
        <f t="shared" ref="E2069:E2074" si="1133">SUM(F2069:K2069)</f>
        <v>0</v>
      </c>
      <c r="F2069" s="1">
        <v>0</v>
      </c>
      <c r="G2069" s="1">
        <v>0</v>
      </c>
      <c r="H2069" s="1">
        <v>0</v>
      </c>
      <c r="I2069" s="1">
        <v>0</v>
      </c>
      <c r="J2069" s="1">
        <v>0</v>
      </c>
      <c r="K2069" s="1">
        <v>0</v>
      </c>
      <c r="L2069" s="2">
        <v>2</v>
      </c>
      <c r="M2069" s="1">
        <f t="shared" si="1129"/>
        <v>7000000</v>
      </c>
      <c r="N2069" s="1">
        <v>0</v>
      </c>
      <c r="O2069" s="1">
        <v>0</v>
      </c>
      <c r="P2069" s="1">
        <v>0</v>
      </c>
      <c r="Q2069" s="1">
        <f t="shared" ref="Q2069:Q2074" si="1134">P2069*1400</f>
        <v>0</v>
      </c>
      <c r="R2069" s="1">
        <v>0</v>
      </c>
      <c r="S2069" s="1">
        <f t="shared" ref="S2069:S2074" si="1135">R2069*3751</f>
        <v>0</v>
      </c>
      <c r="T2069" s="1">
        <v>0</v>
      </c>
      <c r="U2069" s="1">
        <v>200000</v>
      </c>
      <c r="V2069" s="1">
        <v>0</v>
      </c>
      <c r="W2069" s="1">
        <v>0</v>
      </c>
      <c r="X2069" s="1">
        <v>0</v>
      </c>
      <c r="Y2069" s="1">
        <v>0</v>
      </c>
      <c r="Z2069" s="1">
        <v>0</v>
      </c>
      <c r="AA2069" s="1">
        <v>0</v>
      </c>
      <c r="AB2069" s="1">
        <v>0</v>
      </c>
      <c r="AC2069" s="1">
        <v>0</v>
      </c>
      <c r="AD2069" s="1">
        <v>0</v>
      </c>
    </row>
    <row r="2070" spans="1:30" s="20" customFormat="1" ht="36" customHeight="1" x14ac:dyDescent="0.25">
      <c r="A2070" s="2">
        <f t="shared" si="1125"/>
        <v>2000</v>
      </c>
      <c r="B2070" s="6">
        <f t="shared" ref="B2070" si="1136">A2070</f>
        <v>2000</v>
      </c>
      <c r="C2070" s="19" t="s">
        <v>1911</v>
      </c>
      <c r="D2070" s="4">
        <f t="shared" si="1127"/>
        <v>14200000</v>
      </c>
      <c r="E2070" s="1">
        <f t="shared" ref="E2070" si="1137">SUM(F2070:K2070)</f>
        <v>0</v>
      </c>
      <c r="F2070" s="1">
        <v>0</v>
      </c>
      <c r="G2070" s="1">
        <v>0</v>
      </c>
      <c r="H2070" s="1">
        <v>0</v>
      </c>
      <c r="I2070" s="1">
        <v>0</v>
      </c>
      <c r="J2070" s="1">
        <v>0</v>
      </c>
      <c r="K2070" s="1">
        <v>0</v>
      </c>
      <c r="L2070" s="2">
        <v>4</v>
      </c>
      <c r="M2070" s="1">
        <f t="shared" si="1129"/>
        <v>14000000</v>
      </c>
      <c r="N2070" s="1">
        <v>0</v>
      </c>
      <c r="O2070" s="1">
        <v>0</v>
      </c>
      <c r="P2070" s="1">
        <v>0</v>
      </c>
      <c r="Q2070" s="1">
        <f t="shared" ref="Q2070" si="1138">P2070*1400</f>
        <v>0</v>
      </c>
      <c r="R2070" s="1">
        <v>0</v>
      </c>
      <c r="S2070" s="1">
        <f t="shared" ref="S2070" si="1139">R2070*3751</f>
        <v>0</v>
      </c>
      <c r="T2070" s="1">
        <v>0</v>
      </c>
      <c r="U2070" s="1">
        <v>200000</v>
      </c>
      <c r="V2070" s="1">
        <v>0</v>
      </c>
      <c r="W2070" s="1">
        <v>0</v>
      </c>
      <c r="X2070" s="1">
        <v>0</v>
      </c>
      <c r="Y2070" s="1">
        <v>0</v>
      </c>
      <c r="Z2070" s="1">
        <v>0</v>
      </c>
      <c r="AA2070" s="1">
        <v>0</v>
      </c>
      <c r="AB2070" s="1">
        <v>0</v>
      </c>
      <c r="AC2070" s="1">
        <v>0</v>
      </c>
      <c r="AD2070" s="1">
        <v>0</v>
      </c>
    </row>
    <row r="2071" spans="1:30" s="20" customFormat="1" ht="36" customHeight="1" x14ac:dyDescent="0.25">
      <c r="A2071" s="2">
        <f t="shared" si="1125"/>
        <v>2001</v>
      </c>
      <c r="B2071" s="6">
        <f t="shared" si="1132"/>
        <v>2001</v>
      </c>
      <c r="C2071" s="19" t="s">
        <v>1912</v>
      </c>
      <c r="D2071" s="4">
        <f t="shared" si="1127"/>
        <v>21200000</v>
      </c>
      <c r="E2071" s="1">
        <f t="shared" si="1133"/>
        <v>0</v>
      </c>
      <c r="F2071" s="1">
        <v>0</v>
      </c>
      <c r="G2071" s="1">
        <v>0</v>
      </c>
      <c r="H2071" s="1">
        <v>0</v>
      </c>
      <c r="I2071" s="1">
        <v>0</v>
      </c>
      <c r="J2071" s="1">
        <v>0</v>
      </c>
      <c r="K2071" s="1">
        <v>0</v>
      </c>
      <c r="L2071" s="2">
        <v>6</v>
      </c>
      <c r="M2071" s="1">
        <f t="shared" si="1129"/>
        <v>21000000</v>
      </c>
      <c r="N2071" s="1">
        <v>0</v>
      </c>
      <c r="O2071" s="1">
        <v>0</v>
      </c>
      <c r="P2071" s="1">
        <v>0</v>
      </c>
      <c r="Q2071" s="1">
        <f t="shared" si="1134"/>
        <v>0</v>
      </c>
      <c r="R2071" s="1">
        <v>0</v>
      </c>
      <c r="S2071" s="1">
        <f t="shared" si="1135"/>
        <v>0</v>
      </c>
      <c r="T2071" s="1">
        <v>0</v>
      </c>
      <c r="U2071" s="1">
        <v>200000</v>
      </c>
      <c r="V2071" s="1">
        <v>0</v>
      </c>
      <c r="W2071" s="1">
        <v>0</v>
      </c>
      <c r="X2071" s="1">
        <v>0</v>
      </c>
      <c r="Y2071" s="1">
        <v>0</v>
      </c>
      <c r="Z2071" s="1">
        <v>0</v>
      </c>
      <c r="AA2071" s="1">
        <v>0</v>
      </c>
      <c r="AB2071" s="1">
        <v>0</v>
      </c>
      <c r="AC2071" s="1">
        <v>0</v>
      </c>
      <c r="AD2071" s="1">
        <v>0</v>
      </c>
    </row>
    <row r="2072" spans="1:30" s="20" customFormat="1" ht="36" customHeight="1" x14ac:dyDescent="0.25">
      <c r="A2072" s="2">
        <f t="shared" si="1125"/>
        <v>2002</v>
      </c>
      <c r="B2072" s="6">
        <f t="shared" ref="B2072" si="1140">A2072</f>
        <v>2002</v>
      </c>
      <c r="C2072" s="19" t="s">
        <v>1913</v>
      </c>
      <c r="D2072" s="4">
        <f t="shared" si="1127"/>
        <v>14200000</v>
      </c>
      <c r="E2072" s="1">
        <f t="shared" ref="E2072" si="1141">SUM(F2072:K2072)</f>
        <v>0</v>
      </c>
      <c r="F2072" s="1">
        <v>0</v>
      </c>
      <c r="G2072" s="1">
        <v>0</v>
      </c>
      <c r="H2072" s="1">
        <v>0</v>
      </c>
      <c r="I2072" s="1">
        <v>0</v>
      </c>
      <c r="J2072" s="1">
        <v>0</v>
      </c>
      <c r="K2072" s="1">
        <v>0</v>
      </c>
      <c r="L2072" s="2">
        <v>4</v>
      </c>
      <c r="M2072" s="1">
        <f t="shared" si="1129"/>
        <v>14000000</v>
      </c>
      <c r="N2072" s="1">
        <v>0</v>
      </c>
      <c r="O2072" s="1">
        <v>0</v>
      </c>
      <c r="P2072" s="1">
        <v>0</v>
      </c>
      <c r="Q2072" s="1">
        <f t="shared" ref="Q2072" si="1142">P2072*1400</f>
        <v>0</v>
      </c>
      <c r="R2072" s="1">
        <v>0</v>
      </c>
      <c r="S2072" s="1">
        <f t="shared" ref="S2072" si="1143">R2072*3751</f>
        <v>0</v>
      </c>
      <c r="T2072" s="1">
        <v>0</v>
      </c>
      <c r="U2072" s="1">
        <v>200000</v>
      </c>
      <c r="V2072" s="1">
        <v>0</v>
      </c>
      <c r="W2072" s="1">
        <v>0</v>
      </c>
      <c r="X2072" s="1">
        <v>0</v>
      </c>
      <c r="Y2072" s="1">
        <v>0</v>
      </c>
      <c r="Z2072" s="1">
        <v>0</v>
      </c>
      <c r="AA2072" s="1">
        <v>0</v>
      </c>
      <c r="AB2072" s="1">
        <v>0</v>
      </c>
      <c r="AC2072" s="1">
        <v>0</v>
      </c>
      <c r="AD2072" s="1">
        <v>0</v>
      </c>
    </row>
    <row r="2073" spans="1:30" s="20" customFormat="1" ht="36" customHeight="1" x14ac:dyDescent="0.25">
      <c r="A2073" s="2">
        <f t="shared" si="1125"/>
        <v>2003</v>
      </c>
      <c r="B2073" s="6">
        <f t="shared" si="1132"/>
        <v>2003</v>
      </c>
      <c r="C2073" s="19" t="s">
        <v>1914</v>
      </c>
      <c r="D2073" s="4">
        <f t="shared" si="1127"/>
        <v>14200000</v>
      </c>
      <c r="E2073" s="1">
        <f t="shared" si="1133"/>
        <v>0</v>
      </c>
      <c r="F2073" s="1">
        <v>0</v>
      </c>
      <c r="G2073" s="1">
        <v>0</v>
      </c>
      <c r="H2073" s="1">
        <v>0</v>
      </c>
      <c r="I2073" s="1">
        <v>0</v>
      </c>
      <c r="J2073" s="1">
        <v>0</v>
      </c>
      <c r="K2073" s="1">
        <v>0</v>
      </c>
      <c r="L2073" s="2">
        <v>4</v>
      </c>
      <c r="M2073" s="1">
        <f t="shared" si="1129"/>
        <v>14000000</v>
      </c>
      <c r="N2073" s="1">
        <v>0</v>
      </c>
      <c r="O2073" s="1">
        <v>0</v>
      </c>
      <c r="P2073" s="1">
        <v>0</v>
      </c>
      <c r="Q2073" s="1">
        <f t="shared" si="1134"/>
        <v>0</v>
      </c>
      <c r="R2073" s="1">
        <v>0</v>
      </c>
      <c r="S2073" s="1">
        <f t="shared" si="1135"/>
        <v>0</v>
      </c>
      <c r="T2073" s="1">
        <v>0</v>
      </c>
      <c r="U2073" s="1">
        <v>200000</v>
      </c>
      <c r="V2073" s="1">
        <v>0</v>
      </c>
      <c r="W2073" s="1">
        <v>0</v>
      </c>
      <c r="X2073" s="1">
        <v>0</v>
      </c>
      <c r="Y2073" s="1">
        <v>0</v>
      </c>
      <c r="Z2073" s="1">
        <v>0</v>
      </c>
      <c r="AA2073" s="1">
        <v>0</v>
      </c>
      <c r="AB2073" s="1">
        <v>0</v>
      </c>
      <c r="AC2073" s="1">
        <v>0</v>
      </c>
      <c r="AD2073" s="1">
        <v>0</v>
      </c>
    </row>
    <row r="2074" spans="1:30" s="20" customFormat="1" ht="36" customHeight="1" x14ac:dyDescent="0.25">
      <c r="A2074" s="2">
        <f t="shared" si="1125"/>
        <v>2004</v>
      </c>
      <c r="B2074" s="6">
        <f t="shared" si="1132"/>
        <v>2004</v>
      </c>
      <c r="C2074" s="19" t="s">
        <v>1915</v>
      </c>
      <c r="D2074" s="4">
        <f t="shared" si="1127"/>
        <v>7200000</v>
      </c>
      <c r="E2074" s="1">
        <f t="shared" si="1133"/>
        <v>0</v>
      </c>
      <c r="F2074" s="1">
        <v>0</v>
      </c>
      <c r="G2074" s="1">
        <v>0</v>
      </c>
      <c r="H2074" s="1">
        <v>0</v>
      </c>
      <c r="I2074" s="1">
        <v>0</v>
      </c>
      <c r="J2074" s="1">
        <v>0</v>
      </c>
      <c r="K2074" s="1">
        <v>0</v>
      </c>
      <c r="L2074" s="2">
        <v>2</v>
      </c>
      <c r="M2074" s="1">
        <f t="shared" si="1129"/>
        <v>7000000</v>
      </c>
      <c r="N2074" s="1">
        <v>0</v>
      </c>
      <c r="O2074" s="1">
        <v>0</v>
      </c>
      <c r="P2074" s="1">
        <v>0</v>
      </c>
      <c r="Q2074" s="1">
        <f t="shared" si="1134"/>
        <v>0</v>
      </c>
      <c r="R2074" s="1">
        <v>0</v>
      </c>
      <c r="S2074" s="1">
        <f t="shared" si="1135"/>
        <v>0</v>
      </c>
      <c r="T2074" s="1">
        <v>0</v>
      </c>
      <c r="U2074" s="1">
        <v>200000</v>
      </c>
      <c r="V2074" s="1">
        <v>0</v>
      </c>
      <c r="W2074" s="1">
        <v>0</v>
      </c>
      <c r="X2074" s="1">
        <v>0</v>
      </c>
      <c r="Y2074" s="1">
        <v>0</v>
      </c>
      <c r="Z2074" s="1">
        <v>0</v>
      </c>
      <c r="AA2074" s="1">
        <v>0</v>
      </c>
      <c r="AB2074" s="1">
        <v>0</v>
      </c>
      <c r="AC2074" s="1">
        <v>0</v>
      </c>
      <c r="AD2074" s="1">
        <v>0</v>
      </c>
    </row>
    <row r="2075" spans="1:30" s="20" customFormat="1" ht="36" customHeight="1" x14ac:dyDescent="0.25">
      <c r="A2075" s="2">
        <f t="shared" si="1125"/>
        <v>2005</v>
      </c>
      <c r="B2075" s="6">
        <f t="shared" si="1116"/>
        <v>2005</v>
      </c>
      <c r="C2075" s="19" t="s">
        <v>1916</v>
      </c>
      <c r="D2075" s="4">
        <f t="shared" si="1127"/>
        <v>7200000</v>
      </c>
      <c r="E2075" s="1">
        <f t="shared" si="1128"/>
        <v>0</v>
      </c>
      <c r="F2075" s="1">
        <v>0</v>
      </c>
      <c r="G2075" s="1">
        <v>0</v>
      </c>
      <c r="H2075" s="1">
        <v>0</v>
      </c>
      <c r="I2075" s="1">
        <v>0</v>
      </c>
      <c r="J2075" s="1">
        <v>0</v>
      </c>
      <c r="K2075" s="1">
        <v>0</v>
      </c>
      <c r="L2075" s="2">
        <v>2</v>
      </c>
      <c r="M2075" s="1">
        <f t="shared" si="1129"/>
        <v>7000000</v>
      </c>
      <c r="N2075" s="1">
        <v>0</v>
      </c>
      <c r="O2075" s="1">
        <v>0</v>
      </c>
      <c r="P2075" s="1">
        <v>0</v>
      </c>
      <c r="Q2075" s="1">
        <f t="shared" si="1130"/>
        <v>0</v>
      </c>
      <c r="R2075" s="1">
        <v>0</v>
      </c>
      <c r="S2075" s="1">
        <f t="shared" si="1131"/>
        <v>0</v>
      </c>
      <c r="T2075" s="1">
        <v>0</v>
      </c>
      <c r="U2075" s="1">
        <v>200000</v>
      </c>
      <c r="V2075" s="1">
        <v>0</v>
      </c>
      <c r="W2075" s="1">
        <v>0</v>
      </c>
      <c r="X2075" s="1">
        <v>0</v>
      </c>
      <c r="Y2075" s="1">
        <v>0</v>
      </c>
      <c r="Z2075" s="1">
        <v>0</v>
      </c>
      <c r="AA2075" s="1">
        <v>0</v>
      </c>
      <c r="AB2075" s="1">
        <v>0</v>
      </c>
      <c r="AC2075" s="1">
        <v>0</v>
      </c>
      <c r="AD2075" s="1">
        <v>0</v>
      </c>
    </row>
    <row r="2076" spans="1:30" s="20" customFormat="1" ht="36" customHeight="1" x14ac:dyDescent="0.25">
      <c r="A2076" s="2">
        <f t="shared" si="1125"/>
        <v>2006</v>
      </c>
      <c r="B2076" s="6">
        <f t="shared" ref="B2076:B2082" si="1144">A2076</f>
        <v>2006</v>
      </c>
      <c r="C2076" s="19" t="s">
        <v>1901</v>
      </c>
      <c r="D2076" s="4">
        <f t="shared" si="1127"/>
        <v>7200000</v>
      </c>
      <c r="E2076" s="1">
        <f t="shared" ref="E2076:E2082" si="1145">SUM(F2076:K2076)</f>
        <v>0</v>
      </c>
      <c r="F2076" s="1">
        <v>0</v>
      </c>
      <c r="G2076" s="1">
        <v>0</v>
      </c>
      <c r="H2076" s="1">
        <v>0</v>
      </c>
      <c r="I2076" s="1">
        <v>0</v>
      </c>
      <c r="J2076" s="1">
        <v>0</v>
      </c>
      <c r="K2076" s="1">
        <v>0</v>
      </c>
      <c r="L2076" s="2">
        <v>2</v>
      </c>
      <c r="M2076" s="1">
        <f t="shared" si="1129"/>
        <v>7000000</v>
      </c>
      <c r="N2076" s="1">
        <v>0</v>
      </c>
      <c r="O2076" s="1">
        <v>0</v>
      </c>
      <c r="P2076" s="1">
        <v>0</v>
      </c>
      <c r="Q2076" s="1">
        <f t="shared" ref="Q2076:Q2082" si="1146">P2076*1400</f>
        <v>0</v>
      </c>
      <c r="R2076" s="1">
        <v>0</v>
      </c>
      <c r="S2076" s="1">
        <f t="shared" ref="S2076:S2082" si="1147">R2076*3751</f>
        <v>0</v>
      </c>
      <c r="T2076" s="1">
        <v>0</v>
      </c>
      <c r="U2076" s="1">
        <v>200000</v>
      </c>
      <c r="V2076" s="1">
        <v>0</v>
      </c>
      <c r="W2076" s="1">
        <v>0</v>
      </c>
      <c r="X2076" s="1">
        <v>0</v>
      </c>
      <c r="Y2076" s="1">
        <v>0</v>
      </c>
      <c r="Z2076" s="1">
        <v>0</v>
      </c>
      <c r="AA2076" s="1">
        <v>0</v>
      </c>
      <c r="AB2076" s="1">
        <v>0</v>
      </c>
      <c r="AC2076" s="1">
        <v>0</v>
      </c>
      <c r="AD2076" s="1">
        <v>0</v>
      </c>
    </row>
    <row r="2077" spans="1:30" s="20" customFormat="1" ht="36" customHeight="1" x14ac:dyDescent="0.25">
      <c r="A2077" s="2">
        <f t="shared" si="1125"/>
        <v>2007</v>
      </c>
      <c r="B2077" s="6">
        <f t="shared" si="1144"/>
        <v>2007</v>
      </c>
      <c r="C2077" s="19" t="s">
        <v>1902</v>
      </c>
      <c r="D2077" s="4">
        <f t="shared" si="1127"/>
        <v>7200000</v>
      </c>
      <c r="E2077" s="1">
        <f t="shared" si="1145"/>
        <v>0</v>
      </c>
      <c r="F2077" s="1">
        <v>0</v>
      </c>
      <c r="G2077" s="1">
        <v>0</v>
      </c>
      <c r="H2077" s="1">
        <v>0</v>
      </c>
      <c r="I2077" s="1">
        <v>0</v>
      </c>
      <c r="J2077" s="1">
        <v>0</v>
      </c>
      <c r="K2077" s="1">
        <v>0</v>
      </c>
      <c r="L2077" s="2">
        <v>2</v>
      </c>
      <c r="M2077" s="1">
        <f t="shared" si="1129"/>
        <v>7000000</v>
      </c>
      <c r="N2077" s="1">
        <v>0</v>
      </c>
      <c r="O2077" s="1">
        <v>0</v>
      </c>
      <c r="P2077" s="1">
        <v>0</v>
      </c>
      <c r="Q2077" s="1">
        <f t="shared" si="1146"/>
        <v>0</v>
      </c>
      <c r="R2077" s="1">
        <v>0</v>
      </c>
      <c r="S2077" s="1">
        <f t="shared" si="1147"/>
        <v>0</v>
      </c>
      <c r="T2077" s="1">
        <v>0</v>
      </c>
      <c r="U2077" s="1">
        <v>200000</v>
      </c>
      <c r="V2077" s="1">
        <v>0</v>
      </c>
      <c r="W2077" s="1">
        <v>0</v>
      </c>
      <c r="X2077" s="1">
        <v>0</v>
      </c>
      <c r="Y2077" s="1">
        <v>0</v>
      </c>
      <c r="Z2077" s="1">
        <v>0</v>
      </c>
      <c r="AA2077" s="1">
        <v>0</v>
      </c>
      <c r="AB2077" s="1">
        <v>0</v>
      </c>
      <c r="AC2077" s="1">
        <v>0</v>
      </c>
      <c r="AD2077" s="1">
        <v>0</v>
      </c>
    </row>
    <row r="2078" spans="1:30" s="20" customFormat="1" ht="36" customHeight="1" x14ac:dyDescent="0.25">
      <c r="A2078" s="2">
        <f t="shared" si="1125"/>
        <v>2008</v>
      </c>
      <c r="B2078" s="6">
        <f t="shared" si="1144"/>
        <v>2008</v>
      </c>
      <c r="C2078" s="19" t="s">
        <v>1903</v>
      </c>
      <c r="D2078" s="4">
        <f t="shared" si="1127"/>
        <v>7200000</v>
      </c>
      <c r="E2078" s="1">
        <f t="shared" si="1145"/>
        <v>0</v>
      </c>
      <c r="F2078" s="1">
        <v>0</v>
      </c>
      <c r="G2078" s="1">
        <v>0</v>
      </c>
      <c r="H2078" s="1">
        <v>0</v>
      </c>
      <c r="I2078" s="1">
        <v>0</v>
      </c>
      <c r="J2078" s="1">
        <v>0</v>
      </c>
      <c r="K2078" s="1">
        <v>0</v>
      </c>
      <c r="L2078" s="2">
        <v>2</v>
      </c>
      <c r="M2078" s="1">
        <f t="shared" si="1129"/>
        <v>7000000</v>
      </c>
      <c r="N2078" s="1">
        <v>0</v>
      </c>
      <c r="O2078" s="1">
        <v>0</v>
      </c>
      <c r="P2078" s="1">
        <v>0</v>
      </c>
      <c r="Q2078" s="1">
        <f t="shared" si="1146"/>
        <v>0</v>
      </c>
      <c r="R2078" s="1">
        <v>0</v>
      </c>
      <c r="S2078" s="1">
        <f t="shared" si="1147"/>
        <v>0</v>
      </c>
      <c r="T2078" s="1">
        <v>0</v>
      </c>
      <c r="U2078" s="1">
        <v>200000</v>
      </c>
      <c r="V2078" s="1">
        <v>0</v>
      </c>
      <c r="W2078" s="1">
        <v>0</v>
      </c>
      <c r="X2078" s="1">
        <v>0</v>
      </c>
      <c r="Y2078" s="1">
        <v>0</v>
      </c>
      <c r="Z2078" s="1">
        <v>0</v>
      </c>
      <c r="AA2078" s="1">
        <v>0</v>
      </c>
      <c r="AB2078" s="1">
        <v>0</v>
      </c>
      <c r="AC2078" s="1">
        <v>0</v>
      </c>
      <c r="AD2078" s="1">
        <v>0</v>
      </c>
    </row>
    <row r="2079" spans="1:30" s="20" customFormat="1" ht="36" customHeight="1" x14ac:dyDescent="0.25">
      <c r="A2079" s="2">
        <f t="shared" si="1125"/>
        <v>2009</v>
      </c>
      <c r="B2079" s="6">
        <f t="shared" si="1144"/>
        <v>2009</v>
      </c>
      <c r="C2079" s="19" t="s">
        <v>1904</v>
      </c>
      <c r="D2079" s="4">
        <f t="shared" si="1127"/>
        <v>10700000</v>
      </c>
      <c r="E2079" s="1">
        <f t="shared" si="1145"/>
        <v>0</v>
      </c>
      <c r="F2079" s="1">
        <v>0</v>
      </c>
      <c r="G2079" s="1">
        <v>0</v>
      </c>
      <c r="H2079" s="1">
        <v>0</v>
      </c>
      <c r="I2079" s="1">
        <v>0</v>
      </c>
      <c r="J2079" s="1">
        <v>0</v>
      </c>
      <c r="K2079" s="1">
        <v>0</v>
      </c>
      <c r="L2079" s="2">
        <v>3</v>
      </c>
      <c r="M2079" s="1">
        <f t="shared" si="1129"/>
        <v>10500000</v>
      </c>
      <c r="N2079" s="1">
        <v>0</v>
      </c>
      <c r="O2079" s="1">
        <v>0</v>
      </c>
      <c r="P2079" s="1">
        <v>0</v>
      </c>
      <c r="Q2079" s="1">
        <f t="shared" si="1146"/>
        <v>0</v>
      </c>
      <c r="R2079" s="1">
        <v>0</v>
      </c>
      <c r="S2079" s="1">
        <f t="shared" si="1147"/>
        <v>0</v>
      </c>
      <c r="T2079" s="1">
        <v>0</v>
      </c>
      <c r="U2079" s="1">
        <v>200000</v>
      </c>
      <c r="V2079" s="1">
        <v>0</v>
      </c>
      <c r="W2079" s="1">
        <v>0</v>
      </c>
      <c r="X2079" s="1">
        <v>0</v>
      </c>
      <c r="Y2079" s="1">
        <v>0</v>
      </c>
      <c r="Z2079" s="1">
        <v>0</v>
      </c>
      <c r="AA2079" s="1">
        <v>0</v>
      </c>
      <c r="AB2079" s="1">
        <v>0</v>
      </c>
      <c r="AC2079" s="1">
        <v>0</v>
      </c>
      <c r="AD2079" s="1">
        <v>0</v>
      </c>
    </row>
    <row r="2080" spans="1:30" s="20" customFormat="1" ht="36" customHeight="1" x14ac:dyDescent="0.25">
      <c r="A2080" s="2">
        <f t="shared" si="1125"/>
        <v>2010</v>
      </c>
      <c r="B2080" s="6">
        <f t="shared" si="1144"/>
        <v>2010</v>
      </c>
      <c r="C2080" s="19" t="s">
        <v>1905</v>
      </c>
      <c r="D2080" s="4">
        <f t="shared" si="1127"/>
        <v>10700000</v>
      </c>
      <c r="E2080" s="1">
        <f t="shared" si="1145"/>
        <v>0</v>
      </c>
      <c r="F2080" s="1">
        <v>0</v>
      </c>
      <c r="G2080" s="1">
        <v>0</v>
      </c>
      <c r="H2080" s="1">
        <v>0</v>
      </c>
      <c r="I2080" s="1">
        <v>0</v>
      </c>
      <c r="J2080" s="1">
        <v>0</v>
      </c>
      <c r="K2080" s="1">
        <v>0</v>
      </c>
      <c r="L2080" s="2">
        <v>3</v>
      </c>
      <c r="M2080" s="1">
        <f t="shared" si="1129"/>
        <v>10500000</v>
      </c>
      <c r="N2080" s="1">
        <v>0</v>
      </c>
      <c r="O2080" s="1">
        <v>0</v>
      </c>
      <c r="P2080" s="1">
        <v>0</v>
      </c>
      <c r="Q2080" s="1">
        <f t="shared" si="1146"/>
        <v>0</v>
      </c>
      <c r="R2080" s="1">
        <v>0</v>
      </c>
      <c r="S2080" s="1">
        <f t="shared" si="1147"/>
        <v>0</v>
      </c>
      <c r="T2080" s="1">
        <v>0</v>
      </c>
      <c r="U2080" s="1">
        <v>200000</v>
      </c>
      <c r="V2080" s="1">
        <v>0</v>
      </c>
      <c r="W2080" s="1">
        <v>0</v>
      </c>
      <c r="X2080" s="1">
        <v>0</v>
      </c>
      <c r="Y2080" s="1">
        <v>0</v>
      </c>
      <c r="Z2080" s="1">
        <v>0</v>
      </c>
      <c r="AA2080" s="1">
        <v>0</v>
      </c>
      <c r="AB2080" s="1">
        <v>0</v>
      </c>
      <c r="AC2080" s="1">
        <v>0</v>
      </c>
      <c r="AD2080" s="1">
        <v>0</v>
      </c>
    </row>
    <row r="2081" spans="1:30" s="20" customFormat="1" ht="36" customHeight="1" x14ac:dyDescent="0.25">
      <c r="A2081" s="2">
        <f t="shared" si="1125"/>
        <v>2011</v>
      </c>
      <c r="B2081" s="6">
        <f t="shared" si="1144"/>
        <v>2011</v>
      </c>
      <c r="C2081" s="19" t="s">
        <v>1907</v>
      </c>
      <c r="D2081" s="4">
        <f t="shared" si="1127"/>
        <v>21200000</v>
      </c>
      <c r="E2081" s="1">
        <f t="shared" si="1145"/>
        <v>0</v>
      </c>
      <c r="F2081" s="1">
        <v>0</v>
      </c>
      <c r="G2081" s="1">
        <v>0</v>
      </c>
      <c r="H2081" s="1">
        <v>0</v>
      </c>
      <c r="I2081" s="1">
        <v>0</v>
      </c>
      <c r="J2081" s="1">
        <v>0</v>
      </c>
      <c r="K2081" s="1">
        <v>0</v>
      </c>
      <c r="L2081" s="2">
        <v>6</v>
      </c>
      <c r="M2081" s="1">
        <f t="shared" si="1129"/>
        <v>21000000</v>
      </c>
      <c r="N2081" s="1">
        <v>0</v>
      </c>
      <c r="O2081" s="1">
        <v>0</v>
      </c>
      <c r="P2081" s="1">
        <v>0</v>
      </c>
      <c r="Q2081" s="1">
        <f t="shared" si="1146"/>
        <v>0</v>
      </c>
      <c r="R2081" s="1">
        <v>0</v>
      </c>
      <c r="S2081" s="1">
        <f t="shared" si="1147"/>
        <v>0</v>
      </c>
      <c r="T2081" s="1">
        <v>0</v>
      </c>
      <c r="U2081" s="1">
        <v>200000</v>
      </c>
      <c r="V2081" s="1">
        <v>0</v>
      </c>
      <c r="W2081" s="1">
        <v>0</v>
      </c>
      <c r="X2081" s="1">
        <v>0</v>
      </c>
      <c r="Y2081" s="1">
        <v>0</v>
      </c>
      <c r="Z2081" s="1">
        <v>0</v>
      </c>
      <c r="AA2081" s="1">
        <v>0</v>
      </c>
      <c r="AB2081" s="1">
        <v>0</v>
      </c>
      <c r="AC2081" s="1">
        <v>0</v>
      </c>
      <c r="AD2081" s="1">
        <v>0</v>
      </c>
    </row>
    <row r="2082" spans="1:30" s="20" customFormat="1" ht="36" customHeight="1" x14ac:dyDescent="0.25">
      <c r="A2082" s="2">
        <f t="shared" si="1125"/>
        <v>2012</v>
      </c>
      <c r="B2082" s="6">
        <f t="shared" si="1144"/>
        <v>2012</v>
      </c>
      <c r="C2082" s="19" t="s">
        <v>1908</v>
      </c>
      <c r="D2082" s="4">
        <f t="shared" si="1127"/>
        <v>7200000</v>
      </c>
      <c r="E2082" s="1">
        <f t="shared" si="1145"/>
        <v>0</v>
      </c>
      <c r="F2082" s="1">
        <v>0</v>
      </c>
      <c r="G2082" s="1">
        <v>0</v>
      </c>
      <c r="H2082" s="1">
        <v>0</v>
      </c>
      <c r="I2082" s="1">
        <v>0</v>
      </c>
      <c r="J2082" s="1">
        <v>0</v>
      </c>
      <c r="K2082" s="1">
        <v>0</v>
      </c>
      <c r="L2082" s="2">
        <v>2</v>
      </c>
      <c r="M2082" s="1">
        <f t="shared" si="1129"/>
        <v>7000000</v>
      </c>
      <c r="N2082" s="1">
        <v>0</v>
      </c>
      <c r="O2082" s="1">
        <v>0</v>
      </c>
      <c r="P2082" s="1">
        <v>0</v>
      </c>
      <c r="Q2082" s="1">
        <f t="shared" si="1146"/>
        <v>0</v>
      </c>
      <c r="R2082" s="1">
        <v>0</v>
      </c>
      <c r="S2082" s="1">
        <f t="shared" si="1147"/>
        <v>0</v>
      </c>
      <c r="T2082" s="1">
        <v>0</v>
      </c>
      <c r="U2082" s="1">
        <v>200000</v>
      </c>
      <c r="V2082" s="1">
        <v>0</v>
      </c>
      <c r="W2082" s="1">
        <v>0</v>
      </c>
      <c r="X2082" s="1">
        <v>0</v>
      </c>
      <c r="Y2082" s="1">
        <v>0</v>
      </c>
      <c r="Z2082" s="1">
        <v>0</v>
      </c>
      <c r="AA2082" s="1">
        <v>0</v>
      </c>
      <c r="AB2082" s="1">
        <v>0</v>
      </c>
      <c r="AC2082" s="1">
        <v>0</v>
      </c>
      <c r="AD2082" s="1">
        <v>0</v>
      </c>
    </row>
    <row r="2083" spans="1:30" s="20" customFormat="1" ht="36" customHeight="1" x14ac:dyDescent="0.25">
      <c r="A2083" s="2">
        <f t="shared" si="1125"/>
        <v>2013</v>
      </c>
      <c r="B2083" s="6">
        <f t="shared" ref="B2083" si="1148">A2083</f>
        <v>2013</v>
      </c>
      <c r="C2083" s="19" t="s">
        <v>1909</v>
      </c>
      <c r="D2083" s="4">
        <f t="shared" si="1127"/>
        <v>10700000</v>
      </c>
      <c r="E2083" s="1">
        <f t="shared" ref="E2083" si="1149">SUM(F2083:K2083)</f>
        <v>0</v>
      </c>
      <c r="F2083" s="1">
        <v>0</v>
      </c>
      <c r="G2083" s="1">
        <v>0</v>
      </c>
      <c r="H2083" s="1">
        <v>0</v>
      </c>
      <c r="I2083" s="1">
        <v>0</v>
      </c>
      <c r="J2083" s="1">
        <v>0</v>
      </c>
      <c r="K2083" s="1">
        <v>0</v>
      </c>
      <c r="L2083" s="2">
        <v>3</v>
      </c>
      <c r="M2083" s="1">
        <f t="shared" si="1129"/>
        <v>10500000</v>
      </c>
      <c r="N2083" s="1">
        <v>0</v>
      </c>
      <c r="O2083" s="1">
        <v>0</v>
      </c>
      <c r="P2083" s="1">
        <v>0</v>
      </c>
      <c r="Q2083" s="1">
        <f t="shared" ref="Q2083" si="1150">P2083*1400</f>
        <v>0</v>
      </c>
      <c r="R2083" s="1">
        <v>0</v>
      </c>
      <c r="S2083" s="1">
        <f t="shared" ref="S2083" si="1151">R2083*3751</f>
        <v>0</v>
      </c>
      <c r="T2083" s="1">
        <v>0</v>
      </c>
      <c r="U2083" s="1">
        <v>200000</v>
      </c>
      <c r="V2083" s="1">
        <v>0</v>
      </c>
      <c r="W2083" s="1">
        <v>0</v>
      </c>
      <c r="X2083" s="1">
        <v>0</v>
      </c>
      <c r="Y2083" s="1">
        <v>0</v>
      </c>
      <c r="Z2083" s="1">
        <v>0</v>
      </c>
      <c r="AA2083" s="1">
        <v>0</v>
      </c>
      <c r="AB2083" s="1">
        <v>0</v>
      </c>
      <c r="AC2083" s="1">
        <v>0</v>
      </c>
      <c r="AD2083" s="1">
        <v>0</v>
      </c>
    </row>
    <row r="2084" spans="1:30" s="20" customFormat="1" ht="36" customHeight="1" x14ac:dyDescent="0.25">
      <c r="A2084" s="2">
        <f t="shared" si="1125"/>
        <v>2014</v>
      </c>
      <c r="B2084" s="6">
        <f t="shared" ref="B2084:B2096" si="1152">A2084</f>
        <v>2014</v>
      </c>
      <c r="C2084" s="19" t="s">
        <v>1891</v>
      </c>
      <c r="D2084" s="4">
        <f t="shared" si="1127"/>
        <v>3700000</v>
      </c>
      <c r="E2084" s="1">
        <f t="shared" ref="E2084:E2096" si="1153">SUM(F2084:K2084)</f>
        <v>0</v>
      </c>
      <c r="F2084" s="1">
        <v>0</v>
      </c>
      <c r="G2084" s="1">
        <v>0</v>
      </c>
      <c r="H2084" s="1">
        <v>0</v>
      </c>
      <c r="I2084" s="1">
        <v>0</v>
      </c>
      <c r="J2084" s="1">
        <v>0</v>
      </c>
      <c r="K2084" s="1">
        <v>0</v>
      </c>
      <c r="L2084" s="2">
        <v>1</v>
      </c>
      <c r="M2084" s="1">
        <f t="shared" si="1129"/>
        <v>3500000</v>
      </c>
      <c r="N2084" s="1">
        <v>0</v>
      </c>
      <c r="O2084" s="1">
        <v>0</v>
      </c>
      <c r="P2084" s="1">
        <v>0</v>
      </c>
      <c r="Q2084" s="1">
        <f t="shared" ref="Q2084:Q2096" si="1154">P2084*1400</f>
        <v>0</v>
      </c>
      <c r="R2084" s="1">
        <v>0</v>
      </c>
      <c r="S2084" s="1">
        <f t="shared" ref="S2084:S2096" si="1155">R2084*3751</f>
        <v>0</v>
      </c>
      <c r="T2084" s="1">
        <v>0</v>
      </c>
      <c r="U2084" s="1">
        <v>200000</v>
      </c>
      <c r="V2084" s="1">
        <v>0</v>
      </c>
      <c r="W2084" s="1">
        <v>0</v>
      </c>
      <c r="X2084" s="1">
        <v>0</v>
      </c>
      <c r="Y2084" s="1">
        <v>0</v>
      </c>
      <c r="Z2084" s="1">
        <v>0</v>
      </c>
      <c r="AA2084" s="1">
        <v>0</v>
      </c>
      <c r="AB2084" s="1">
        <v>0</v>
      </c>
      <c r="AC2084" s="1">
        <v>0</v>
      </c>
      <c r="AD2084" s="1">
        <v>0</v>
      </c>
    </row>
    <row r="2085" spans="1:30" s="20" customFormat="1" ht="36" customHeight="1" x14ac:dyDescent="0.25">
      <c r="A2085" s="2">
        <f t="shared" si="1125"/>
        <v>2015</v>
      </c>
      <c r="B2085" s="6">
        <f t="shared" si="1152"/>
        <v>2015</v>
      </c>
      <c r="C2085" s="19" t="s">
        <v>1894</v>
      </c>
      <c r="D2085" s="4">
        <f t="shared" si="1127"/>
        <v>3700000</v>
      </c>
      <c r="E2085" s="1">
        <f t="shared" si="1153"/>
        <v>0</v>
      </c>
      <c r="F2085" s="1">
        <v>0</v>
      </c>
      <c r="G2085" s="1">
        <v>0</v>
      </c>
      <c r="H2085" s="1">
        <v>0</v>
      </c>
      <c r="I2085" s="1">
        <v>0</v>
      </c>
      <c r="J2085" s="1">
        <v>0</v>
      </c>
      <c r="K2085" s="1">
        <v>0</v>
      </c>
      <c r="L2085" s="2">
        <v>1</v>
      </c>
      <c r="M2085" s="1">
        <f t="shared" si="1129"/>
        <v>3500000</v>
      </c>
      <c r="N2085" s="1">
        <v>0</v>
      </c>
      <c r="O2085" s="1">
        <v>0</v>
      </c>
      <c r="P2085" s="1">
        <v>0</v>
      </c>
      <c r="Q2085" s="1">
        <f t="shared" si="1154"/>
        <v>0</v>
      </c>
      <c r="R2085" s="1">
        <v>0</v>
      </c>
      <c r="S2085" s="1">
        <f t="shared" si="1155"/>
        <v>0</v>
      </c>
      <c r="T2085" s="1">
        <v>0</v>
      </c>
      <c r="U2085" s="1">
        <v>200000</v>
      </c>
      <c r="V2085" s="1">
        <v>0</v>
      </c>
      <c r="W2085" s="1">
        <v>0</v>
      </c>
      <c r="X2085" s="1">
        <v>0</v>
      </c>
      <c r="Y2085" s="1">
        <v>0</v>
      </c>
      <c r="Z2085" s="1">
        <v>0</v>
      </c>
      <c r="AA2085" s="1">
        <v>0</v>
      </c>
      <c r="AB2085" s="1">
        <v>0</v>
      </c>
      <c r="AC2085" s="1">
        <v>0</v>
      </c>
      <c r="AD2085" s="1">
        <v>0</v>
      </c>
    </row>
    <row r="2086" spans="1:30" s="20" customFormat="1" ht="36" customHeight="1" x14ac:dyDescent="0.25">
      <c r="A2086" s="2">
        <f t="shared" si="1125"/>
        <v>2016</v>
      </c>
      <c r="B2086" s="6">
        <f t="shared" ref="B2086:B2088" si="1156">A2086</f>
        <v>2016</v>
      </c>
      <c r="C2086" s="19" t="s">
        <v>1921</v>
      </c>
      <c r="D2086" s="4">
        <f t="shared" si="1127"/>
        <v>7200000</v>
      </c>
      <c r="E2086" s="1">
        <f t="shared" ref="E2086:E2088" si="1157">SUM(F2086:K2086)</f>
        <v>0</v>
      </c>
      <c r="F2086" s="1">
        <v>0</v>
      </c>
      <c r="G2086" s="1">
        <v>0</v>
      </c>
      <c r="H2086" s="1">
        <v>0</v>
      </c>
      <c r="I2086" s="1">
        <v>0</v>
      </c>
      <c r="J2086" s="1">
        <v>0</v>
      </c>
      <c r="K2086" s="1">
        <v>0</v>
      </c>
      <c r="L2086" s="2">
        <v>2</v>
      </c>
      <c r="M2086" s="1">
        <f t="shared" si="1129"/>
        <v>7000000</v>
      </c>
      <c r="N2086" s="1">
        <v>0</v>
      </c>
      <c r="O2086" s="1">
        <v>0</v>
      </c>
      <c r="P2086" s="1">
        <v>0</v>
      </c>
      <c r="Q2086" s="1">
        <f t="shared" ref="Q2086:Q2088" si="1158">P2086*1400</f>
        <v>0</v>
      </c>
      <c r="R2086" s="1">
        <v>0</v>
      </c>
      <c r="S2086" s="1">
        <f t="shared" ref="S2086:S2088" si="1159">R2086*3751</f>
        <v>0</v>
      </c>
      <c r="T2086" s="1">
        <v>0</v>
      </c>
      <c r="U2086" s="1">
        <v>200000</v>
      </c>
      <c r="V2086" s="1">
        <v>0</v>
      </c>
      <c r="W2086" s="1">
        <v>0</v>
      </c>
      <c r="X2086" s="1">
        <v>0</v>
      </c>
      <c r="Y2086" s="1">
        <v>0</v>
      </c>
      <c r="Z2086" s="1">
        <v>0</v>
      </c>
      <c r="AA2086" s="1">
        <v>0</v>
      </c>
      <c r="AB2086" s="1">
        <v>0</v>
      </c>
      <c r="AC2086" s="1">
        <v>0</v>
      </c>
      <c r="AD2086" s="1">
        <v>0</v>
      </c>
    </row>
    <row r="2087" spans="1:30" s="20" customFormat="1" ht="36" customHeight="1" x14ac:dyDescent="0.25">
      <c r="A2087" s="2">
        <f t="shared" si="1125"/>
        <v>2017</v>
      </c>
      <c r="B2087" s="6">
        <f t="shared" si="1156"/>
        <v>2017</v>
      </c>
      <c r="C2087" s="19" t="s">
        <v>1895</v>
      </c>
      <c r="D2087" s="4">
        <f t="shared" si="1127"/>
        <v>10700000</v>
      </c>
      <c r="E2087" s="1">
        <f t="shared" si="1157"/>
        <v>0</v>
      </c>
      <c r="F2087" s="1">
        <v>0</v>
      </c>
      <c r="G2087" s="1">
        <v>0</v>
      </c>
      <c r="H2087" s="1">
        <v>0</v>
      </c>
      <c r="I2087" s="1">
        <v>0</v>
      </c>
      <c r="J2087" s="1">
        <v>0</v>
      </c>
      <c r="K2087" s="1">
        <v>0</v>
      </c>
      <c r="L2087" s="2">
        <v>3</v>
      </c>
      <c r="M2087" s="1">
        <f t="shared" si="1129"/>
        <v>10500000</v>
      </c>
      <c r="N2087" s="1">
        <v>0</v>
      </c>
      <c r="O2087" s="1">
        <v>0</v>
      </c>
      <c r="P2087" s="1">
        <v>0</v>
      </c>
      <c r="Q2087" s="1">
        <f t="shared" si="1158"/>
        <v>0</v>
      </c>
      <c r="R2087" s="1">
        <v>0</v>
      </c>
      <c r="S2087" s="1">
        <f t="shared" si="1159"/>
        <v>0</v>
      </c>
      <c r="T2087" s="1">
        <v>0</v>
      </c>
      <c r="U2087" s="1">
        <v>200000</v>
      </c>
      <c r="V2087" s="1">
        <v>0</v>
      </c>
      <c r="W2087" s="1">
        <v>0</v>
      </c>
      <c r="X2087" s="1">
        <v>0</v>
      </c>
      <c r="Y2087" s="1">
        <v>0</v>
      </c>
      <c r="Z2087" s="1">
        <v>0</v>
      </c>
      <c r="AA2087" s="1">
        <v>0</v>
      </c>
      <c r="AB2087" s="1">
        <v>0</v>
      </c>
      <c r="AC2087" s="1">
        <v>0</v>
      </c>
      <c r="AD2087" s="1">
        <v>0</v>
      </c>
    </row>
    <row r="2088" spans="1:30" s="20" customFormat="1" ht="36" customHeight="1" x14ac:dyDescent="0.25">
      <c r="A2088" s="2">
        <f t="shared" si="1125"/>
        <v>2018</v>
      </c>
      <c r="B2088" s="6">
        <f t="shared" si="1156"/>
        <v>2018</v>
      </c>
      <c r="C2088" s="19" t="s">
        <v>1923</v>
      </c>
      <c r="D2088" s="4">
        <f t="shared" si="1127"/>
        <v>7200000</v>
      </c>
      <c r="E2088" s="1">
        <f t="shared" si="1157"/>
        <v>0</v>
      </c>
      <c r="F2088" s="1">
        <v>0</v>
      </c>
      <c r="G2088" s="1">
        <v>0</v>
      </c>
      <c r="H2088" s="1">
        <v>0</v>
      </c>
      <c r="I2088" s="1">
        <v>0</v>
      </c>
      <c r="J2088" s="1">
        <v>0</v>
      </c>
      <c r="K2088" s="1">
        <v>0</v>
      </c>
      <c r="L2088" s="2">
        <v>2</v>
      </c>
      <c r="M2088" s="1">
        <f t="shared" si="1129"/>
        <v>7000000</v>
      </c>
      <c r="N2088" s="1">
        <v>0</v>
      </c>
      <c r="O2088" s="1">
        <v>0</v>
      </c>
      <c r="P2088" s="1">
        <v>0</v>
      </c>
      <c r="Q2088" s="1">
        <f t="shared" si="1158"/>
        <v>0</v>
      </c>
      <c r="R2088" s="1">
        <v>0</v>
      </c>
      <c r="S2088" s="1">
        <f t="shared" si="1159"/>
        <v>0</v>
      </c>
      <c r="T2088" s="1">
        <v>0</v>
      </c>
      <c r="U2088" s="1">
        <v>200000</v>
      </c>
      <c r="V2088" s="1">
        <v>0</v>
      </c>
      <c r="W2088" s="1">
        <v>0</v>
      </c>
      <c r="X2088" s="1">
        <v>0</v>
      </c>
      <c r="Y2088" s="1">
        <v>0</v>
      </c>
      <c r="Z2088" s="1">
        <v>0</v>
      </c>
      <c r="AA2088" s="1">
        <v>0</v>
      </c>
      <c r="AB2088" s="1">
        <v>0</v>
      </c>
      <c r="AC2088" s="1">
        <v>0</v>
      </c>
      <c r="AD2088" s="1">
        <v>0</v>
      </c>
    </row>
    <row r="2089" spans="1:30" s="20" customFormat="1" ht="36" customHeight="1" x14ac:dyDescent="0.25">
      <c r="A2089" s="2">
        <f t="shared" si="1125"/>
        <v>2019</v>
      </c>
      <c r="B2089" s="6">
        <f t="shared" ref="B2089:B2093" si="1160">A2089</f>
        <v>2019</v>
      </c>
      <c r="C2089" s="19" t="s">
        <v>1924</v>
      </c>
      <c r="D2089" s="4">
        <f t="shared" si="1127"/>
        <v>7200000</v>
      </c>
      <c r="E2089" s="1">
        <f t="shared" ref="E2089:E2093" si="1161">SUM(F2089:K2089)</f>
        <v>0</v>
      </c>
      <c r="F2089" s="1">
        <v>0</v>
      </c>
      <c r="G2089" s="1">
        <v>0</v>
      </c>
      <c r="H2089" s="1">
        <v>0</v>
      </c>
      <c r="I2089" s="1">
        <v>0</v>
      </c>
      <c r="J2089" s="1">
        <v>0</v>
      </c>
      <c r="K2089" s="1">
        <v>0</v>
      </c>
      <c r="L2089" s="2">
        <v>2</v>
      </c>
      <c r="M2089" s="1">
        <f t="shared" si="1129"/>
        <v>7000000</v>
      </c>
      <c r="N2089" s="1">
        <v>0</v>
      </c>
      <c r="O2089" s="1">
        <v>0</v>
      </c>
      <c r="P2089" s="1">
        <v>0</v>
      </c>
      <c r="Q2089" s="1">
        <f t="shared" ref="Q2089:Q2093" si="1162">P2089*1400</f>
        <v>0</v>
      </c>
      <c r="R2089" s="1">
        <v>0</v>
      </c>
      <c r="S2089" s="1">
        <f t="shared" ref="S2089:S2093" si="1163">R2089*3751</f>
        <v>0</v>
      </c>
      <c r="T2089" s="1">
        <v>0</v>
      </c>
      <c r="U2089" s="1">
        <v>200000</v>
      </c>
      <c r="V2089" s="1">
        <v>0</v>
      </c>
      <c r="W2089" s="1">
        <v>0</v>
      </c>
      <c r="X2089" s="1">
        <v>0</v>
      </c>
      <c r="Y2089" s="1">
        <v>0</v>
      </c>
      <c r="Z2089" s="1">
        <v>0</v>
      </c>
      <c r="AA2089" s="1">
        <v>0</v>
      </c>
      <c r="AB2089" s="1">
        <v>0</v>
      </c>
      <c r="AC2089" s="1">
        <v>0</v>
      </c>
      <c r="AD2089" s="1">
        <v>0</v>
      </c>
    </row>
    <row r="2090" spans="1:30" s="20" customFormat="1" ht="36" customHeight="1" x14ac:dyDescent="0.25">
      <c r="A2090" s="2">
        <f t="shared" si="1125"/>
        <v>2020</v>
      </c>
      <c r="B2090" s="6">
        <f t="shared" si="1160"/>
        <v>2020</v>
      </c>
      <c r="C2090" s="19" t="s">
        <v>1892</v>
      </c>
      <c r="D2090" s="4">
        <f t="shared" si="1127"/>
        <v>10700000</v>
      </c>
      <c r="E2090" s="1">
        <f t="shared" si="1161"/>
        <v>0</v>
      </c>
      <c r="F2090" s="1">
        <v>0</v>
      </c>
      <c r="G2090" s="1">
        <v>0</v>
      </c>
      <c r="H2090" s="1">
        <v>0</v>
      </c>
      <c r="I2090" s="1">
        <v>0</v>
      </c>
      <c r="J2090" s="1">
        <v>0</v>
      </c>
      <c r="K2090" s="1">
        <v>0</v>
      </c>
      <c r="L2090" s="2">
        <v>3</v>
      </c>
      <c r="M2090" s="1">
        <f t="shared" si="1129"/>
        <v>10500000</v>
      </c>
      <c r="N2090" s="1">
        <v>0</v>
      </c>
      <c r="O2090" s="1">
        <v>0</v>
      </c>
      <c r="P2090" s="1">
        <v>0</v>
      </c>
      <c r="Q2090" s="1">
        <f t="shared" si="1162"/>
        <v>0</v>
      </c>
      <c r="R2090" s="1">
        <v>0</v>
      </c>
      <c r="S2090" s="1">
        <f t="shared" si="1163"/>
        <v>0</v>
      </c>
      <c r="T2090" s="1">
        <v>0</v>
      </c>
      <c r="U2090" s="1">
        <v>200000</v>
      </c>
      <c r="V2090" s="1">
        <v>0</v>
      </c>
      <c r="W2090" s="1">
        <v>0</v>
      </c>
      <c r="X2090" s="1">
        <v>0</v>
      </c>
      <c r="Y2090" s="1">
        <v>0</v>
      </c>
      <c r="Z2090" s="1">
        <v>0</v>
      </c>
      <c r="AA2090" s="1">
        <v>0</v>
      </c>
      <c r="AB2090" s="1">
        <v>0</v>
      </c>
      <c r="AC2090" s="1">
        <v>0</v>
      </c>
      <c r="AD2090" s="1">
        <v>0</v>
      </c>
    </row>
    <row r="2091" spans="1:30" s="20" customFormat="1" ht="36" customHeight="1" x14ac:dyDescent="0.25">
      <c r="A2091" s="2">
        <f t="shared" si="1125"/>
        <v>2021</v>
      </c>
      <c r="B2091" s="6">
        <f t="shared" si="1160"/>
        <v>2021</v>
      </c>
      <c r="C2091" s="19" t="s">
        <v>1917</v>
      </c>
      <c r="D2091" s="4">
        <f t="shared" si="1127"/>
        <v>3700000</v>
      </c>
      <c r="E2091" s="1">
        <f t="shared" si="1161"/>
        <v>0</v>
      </c>
      <c r="F2091" s="1">
        <v>0</v>
      </c>
      <c r="G2091" s="1">
        <v>0</v>
      </c>
      <c r="H2091" s="1">
        <v>0</v>
      </c>
      <c r="I2091" s="1">
        <v>0</v>
      </c>
      <c r="J2091" s="1">
        <v>0</v>
      </c>
      <c r="K2091" s="1">
        <v>0</v>
      </c>
      <c r="L2091" s="2">
        <v>1</v>
      </c>
      <c r="M2091" s="1">
        <f t="shared" si="1129"/>
        <v>3500000</v>
      </c>
      <c r="N2091" s="1">
        <v>0</v>
      </c>
      <c r="O2091" s="1">
        <v>0</v>
      </c>
      <c r="P2091" s="1">
        <v>0</v>
      </c>
      <c r="Q2091" s="1">
        <f t="shared" si="1162"/>
        <v>0</v>
      </c>
      <c r="R2091" s="1">
        <v>0</v>
      </c>
      <c r="S2091" s="1">
        <f t="shared" si="1163"/>
        <v>0</v>
      </c>
      <c r="T2091" s="1">
        <v>0</v>
      </c>
      <c r="U2091" s="1">
        <v>200000</v>
      </c>
      <c r="V2091" s="1">
        <v>0</v>
      </c>
      <c r="W2091" s="1">
        <v>0</v>
      </c>
      <c r="X2091" s="1">
        <v>0</v>
      </c>
      <c r="Y2091" s="1">
        <v>0</v>
      </c>
      <c r="Z2091" s="1">
        <v>0</v>
      </c>
      <c r="AA2091" s="1">
        <v>0</v>
      </c>
      <c r="AB2091" s="1">
        <v>0</v>
      </c>
      <c r="AC2091" s="1">
        <v>0</v>
      </c>
      <c r="AD2091" s="1">
        <v>0</v>
      </c>
    </row>
    <row r="2092" spans="1:30" s="20" customFormat="1" ht="36" customHeight="1" x14ac:dyDescent="0.25">
      <c r="A2092" s="2">
        <f t="shared" si="1125"/>
        <v>2022</v>
      </c>
      <c r="B2092" s="6">
        <f t="shared" si="1160"/>
        <v>2022</v>
      </c>
      <c r="C2092" s="19" t="s">
        <v>1918</v>
      </c>
      <c r="D2092" s="4">
        <f t="shared" si="1127"/>
        <v>7200000</v>
      </c>
      <c r="E2092" s="1">
        <f t="shared" si="1161"/>
        <v>0</v>
      </c>
      <c r="F2092" s="1">
        <v>0</v>
      </c>
      <c r="G2092" s="1">
        <v>0</v>
      </c>
      <c r="H2092" s="1">
        <v>0</v>
      </c>
      <c r="I2092" s="1">
        <v>0</v>
      </c>
      <c r="J2092" s="1">
        <v>0</v>
      </c>
      <c r="K2092" s="1">
        <v>0</v>
      </c>
      <c r="L2092" s="2">
        <v>2</v>
      </c>
      <c r="M2092" s="1">
        <f t="shared" si="1129"/>
        <v>7000000</v>
      </c>
      <c r="N2092" s="1">
        <v>0</v>
      </c>
      <c r="O2092" s="1">
        <v>0</v>
      </c>
      <c r="P2092" s="1">
        <v>0</v>
      </c>
      <c r="Q2092" s="1">
        <f t="shared" si="1162"/>
        <v>0</v>
      </c>
      <c r="R2092" s="1">
        <v>0</v>
      </c>
      <c r="S2092" s="1">
        <f t="shared" si="1163"/>
        <v>0</v>
      </c>
      <c r="T2092" s="1">
        <v>0</v>
      </c>
      <c r="U2092" s="1">
        <v>200000</v>
      </c>
      <c r="V2092" s="1">
        <v>0</v>
      </c>
      <c r="W2092" s="1">
        <v>0</v>
      </c>
      <c r="X2092" s="1">
        <v>0</v>
      </c>
      <c r="Y2092" s="1">
        <v>0</v>
      </c>
      <c r="Z2092" s="1">
        <v>0</v>
      </c>
      <c r="AA2092" s="1">
        <v>0</v>
      </c>
      <c r="AB2092" s="1">
        <v>0</v>
      </c>
      <c r="AC2092" s="1">
        <v>0</v>
      </c>
      <c r="AD2092" s="1">
        <v>0</v>
      </c>
    </row>
    <row r="2093" spans="1:30" s="20" customFormat="1" ht="36" customHeight="1" x14ac:dyDescent="0.25">
      <c r="A2093" s="2">
        <f t="shared" si="1125"/>
        <v>2023</v>
      </c>
      <c r="B2093" s="6">
        <f t="shared" si="1160"/>
        <v>2023</v>
      </c>
      <c r="C2093" s="19" t="s">
        <v>1919</v>
      </c>
      <c r="D2093" s="4">
        <f t="shared" si="1127"/>
        <v>10700000</v>
      </c>
      <c r="E2093" s="1">
        <f t="shared" si="1161"/>
        <v>0</v>
      </c>
      <c r="F2093" s="1">
        <v>0</v>
      </c>
      <c r="G2093" s="1">
        <v>0</v>
      </c>
      <c r="H2093" s="1">
        <v>0</v>
      </c>
      <c r="I2093" s="1">
        <v>0</v>
      </c>
      <c r="J2093" s="1">
        <v>0</v>
      </c>
      <c r="K2093" s="1">
        <v>0</v>
      </c>
      <c r="L2093" s="2">
        <v>3</v>
      </c>
      <c r="M2093" s="1">
        <f t="shared" si="1129"/>
        <v>10500000</v>
      </c>
      <c r="N2093" s="1">
        <v>0</v>
      </c>
      <c r="O2093" s="1">
        <v>0</v>
      </c>
      <c r="P2093" s="1">
        <v>0</v>
      </c>
      <c r="Q2093" s="1">
        <f t="shared" si="1162"/>
        <v>0</v>
      </c>
      <c r="R2093" s="1">
        <v>0</v>
      </c>
      <c r="S2093" s="1">
        <f t="shared" si="1163"/>
        <v>0</v>
      </c>
      <c r="T2093" s="1">
        <v>0</v>
      </c>
      <c r="U2093" s="1">
        <v>200000</v>
      </c>
      <c r="V2093" s="1">
        <v>0</v>
      </c>
      <c r="W2093" s="1">
        <v>0</v>
      </c>
      <c r="X2093" s="1">
        <v>0</v>
      </c>
      <c r="Y2093" s="1">
        <v>0</v>
      </c>
      <c r="Z2093" s="1">
        <v>0</v>
      </c>
      <c r="AA2093" s="1">
        <v>0</v>
      </c>
      <c r="AB2093" s="1">
        <v>0</v>
      </c>
      <c r="AC2093" s="1">
        <v>0</v>
      </c>
      <c r="AD2093" s="1">
        <v>0</v>
      </c>
    </row>
    <row r="2094" spans="1:30" s="20" customFormat="1" ht="36" customHeight="1" x14ac:dyDescent="0.25">
      <c r="A2094" s="2">
        <f t="shared" si="1125"/>
        <v>2024</v>
      </c>
      <c r="B2094" s="6">
        <f t="shared" si="1152"/>
        <v>2024</v>
      </c>
      <c r="C2094" s="19" t="s">
        <v>1920</v>
      </c>
      <c r="D2094" s="4">
        <f t="shared" si="1127"/>
        <v>3700000</v>
      </c>
      <c r="E2094" s="1">
        <f t="shared" si="1153"/>
        <v>0</v>
      </c>
      <c r="F2094" s="1">
        <v>0</v>
      </c>
      <c r="G2094" s="1">
        <v>0</v>
      </c>
      <c r="H2094" s="1">
        <v>0</v>
      </c>
      <c r="I2094" s="1">
        <v>0</v>
      </c>
      <c r="J2094" s="1">
        <v>0</v>
      </c>
      <c r="K2094" s="1">
        <v>0</v>
      </c>
      <c r="L2094" s="2">
        <v>1</v>
      </c>
      <c r="M2094" s="1">
        <f t="shared" si="1129"/>
        <v>3500000</v>
      </c>
      <c r="N2094" s="1">
        <v>0</v>
      </c>
      <c r="O2094" s="1">
        <v>0</v>
      </c>
      <c r="P2094" s="1">
        <v>0</v>
      </c>
      <c r="Q2094" s="1">
        <f t="shared" si="1154"/>
        <v>0</v>
      </c>
      <c r="R2094" s="1">
        <v>0</v>
      </c>
      <c r="S2094" s="1">
        <f t="shared" si="1155"/>
        <v>0</v>
      </c>
      <c r="T2094" s="1">
        <v>0</v>
      </c>
      <c r="U2094" s="1">
        <v>200000</v>
      </c>
      <c r="V2094" s="1">
        <v>0</v>
      </c>
      <c r="W2094" s="1">
        <v>0</v>
      </c>
      <c r="X2094" s="1">
        <v>0</v>
      </c>
      <c r="Y2094" s="1">
        <v>0</v>
      </c>
      <c r="Z2094" s="1">
        <v>0</v>
      </c>
      <c r="AA2094" s="1">
        <v>0</v>
      </c>
      <c r="AB2094" s="1">
        <v>0</v>
      </c>
      <c r="AC2094" s="1">
        <v>0</v>
      </c>
      <c r="AD2094" s="1">
        <v>0</v>
      </c>
    </row>
    <row r="2095" spans="1:30" s="20" customFormat="1" ht="36" customHeight="1" x14ac:dyDescent="0.25">
      <c r="A2095" s="2">
        <f t="shared" si="1125"/>
        <v>2025</v>
      </c>
      <c r="B2095" s="6">
        <f t="shared" ref="B2095" si="1164">A2095</f>
        <v>2025</v>
      </c>
      <c r="C2095" s="19" t="s">
        <v>1893</v>
      </c>
      <c r="D2095" s="4">
        <f t="shared" si="1127"/>
        <v>10700000</v>
      </c>
      <c r="E2095" s="1">
        <f t="shared" ref="E2095" si="1165">SUM(F2095:K2095)</f>
        <v>0</v>
      </c>
      <c r="F2095" s="1">
        <v>0</v>
      </c>
      <c r="G2095" s="1">
        <v>0</v>
      </c>
      <c r="H2095" s="1">
        <v>0</v>
      </c>
      <c r="I2095" s="1">
        <v>0</v>
      </c>
      <c r="J2095" s="1">
        <v>0</v>
      </c>
      <c r="K2095" s="1">
        <v>0</v>
      </c>
      <c r="L2095" s="2">
        <v>3</v>
      </c>
      <c r="M2095" s="1">
        <f t="shared" si="1129"/>
        <v>10500000</v>
      </c>
      <c r="N2095" s="1">
        <v>0</v>
      </c>
      <c r="O2095" s="1">
        <v>0</v>
      </c>
      <c r="P2095" s="1">
        <v>0</v>
      </c>
      <c r="Q2095" s="1">
        <f t="shared" ref="Q2095" si="1166">P2095*1400</f>
        <v>0</v>
      </c>
      <c r="R2095" s="1">
        <v>0</v>
      </c>
      <c r="S2095" s="1">
        <f t="shared" ref="S2095" si="1167">R2095*3751</f>
        <v>0</v>
      </c>
      <c r="T2095" s="1">
        <v>0</v>
      </c>
      <c r="U2095" s="1">
        <v>200000</v>
      </c>
      <c r="V2095" s="1">
        <v>0</v>
      </c>
      <c r="W2095" s="1">
        <v>0</v>
      </c>
      <c r="X2095" s="1">
        <v>0</v>
      </c>
      <c r="Y2095" s="1">
        <v>0</v>
      </c>
      <c r="Z2095" s="1">
        <v>0</v>
      </c>
      <c r="AA2095" s="1">
        <v>0</v>
      </c>
      <c r="AB2095" s="1">
        <v>0</v>
      </c>
      <c r="AC2095" s="1">
        <v>0</v>
      </c>
      <c r="AD2095" s="1">
        <v>0</v>
      </c>
    </row>
    <row r="2096" spans="1:30" s="20" customFormat="1" ht="36" customHeight="1" x14ac:dyDescent="0.25">
      <c r="A2096" s="2">
        <f t="shared" si="1125"/>
        <v>2026</v>
      </c>
      <c r="B2096" s="6">
        <f t="shared" si="1152"/>
        <v>2026</v>
      </c>
      <c r="C2096" s="19" t="s">
        <v>1922</v>
      </c>
      <c r="D2096" s="4">
        <f t="shared" si="1127"/>
        <v>3700000</v>
      </c>
      <c r="E2096" s="1">
        <f t="shared" si="1153"/>
        <v>0</v>
      </c>
      <c r="F2096" s="1">
        <v>0</v>
      </c>
      <c r="G2096" s="1">
        <v>0</v>
      </c>
      <c r="H2096" s="1">
        <v>0</v>
      </c>
      <c r="I2096" s="1">
        <v>0</v>
      </c>
      <c r="J2096" s="1">
        <v>0</v>
      </c>
      <c r="K2096" s="1">
        <v>0</v>
      </c>
      <c r="L2096" s="2">
        <v>1</v>
      </c>
      <c r="M2096" s="1">
        <f t="shared" si="1129"/>
        <v>3500000</v>
      </c>
      <c r="N2096" s="1">
        <v>0</v>
      </c>
      <c r="O2096" s="1">
        <v>0</v>
      </c>
      <c r="P2096" s="1">
        <v>0</v>
      </c>
      <c r="Q2096" s="1">
        <f t="shared" si="1154"/>
        <v>0</v>
      </c>
      <c r="R2096" s="1">
        <v>0</v>
      </c>
      <c r="S2096" s="1">
        <f t="shared" si="1155"/>
        <v>0</v>
      </c>
      <c r="T2096" s="1">
        <v>0</v>
      </c>
      <c r="U2096" s="1">
        <v>200000</v>
      </c>
      <c r="V2096" s="1">
        <v>0</v>
      </c>
      <c r="W2096" s="1">
        <v>0</v>
      </c>
      <c r="X2096" s="1">
        <v>0</v>
      </c>
      <c r="Y2096" s="1">
        <v>0</v>
      </c>
      <c r="Z2096" s="1">
        <v>0</v>
      </c>
      <c r="AA2096" s="1">
        <v>0</v>
      </c>
      <c r="AB2096" s="1">
        <v>0</v>
      </c>
      <c r="AC2096" s="1">
        <v>0</v>
      </c>
      <c r="AD2096" s="1">
        <v>0</v>
      </c>
    </row>
    <row r="2097" spans="1:30" s="20" customFormat="1" ht="54.95" customHeight="1" x14ac:dyDescent="0.25">
      <c r="A2097" s="3"/>
      <c r="B2097" s="47" t="s">
        <v>1971</v>
      </c>
      <c r="C2097" s="48"/>
      <c r="D2097" s="4">
        <f>SUM(D2098:D2112)</f>
        <v>255424414.5</v>
      </c>
      <c r="E2097" s="4">
        <f t="shared" ref="E2097:AD2097" si="1168">SUM(E2098:E2112)</f>
        <v>148711267.5</v>
      </c>
      <c r="F2097" s="4">
        <f t="shared" si="1168"/>
        <v>30390154.799999997</v>
      </c>
      <c r="G2097" s="4">
        <f t="shared" si="1168"/>
        <v>63993199.099999994</v>
      </c>
      <c r="H2097" s="4">
        <f t="shared" si="1168"/>
        <v>14901393</v>
      </c>
      <c r="I2097" s="4">
        <f t="shared" si="1168"/>
        <v>21583057.699999999</v>
      </c>
      <c r="J2097" s="4">
        <f t="shared" si="1168"/>
        <v>17843462.899999999</v>
      </c>
      <c r="K2097" s="4">
        <f t="shared" si="1168"/>
        <v>0</v>
      </c>
      <c r="L2097" s="17">
        <f t="shared" si="1168"/>
        <v>0</v>
      </c>
      <c r="M2097" s="4">
        <f t="shared" si="1168"/>
        <v>0</v>
      </c>
      <c r="N2097" s="4">
        <f t="shared" si="1168"/>
        <v>6530</v>
      </c>
      <c r="O2097" s="4">
        <f t="shared" si="1168"/>
        <v>39206864</v>
      </c>
      <c r="P2097" s="4">
        <f t="shared" si="1168"/>
        <v>350</v>
      </c>
      <c r="Q2097" s="4">
        <f t="shared" si="1168"/>
        <v>490000</v>
      </c>
      <c r="R2097" s="4">
        <f t="shared" si="1168"/>
        <v>17533</v>
      </c>
      <c r="S2097" s="4">
        <f t="shared" si="1168"/>
        <v>65766283</v>
      </c>
      <c r="T2097" s="4">
        <f t="shared" si="1168"/>
        <v>150000</v>
      </c>
      <c r="U2097" s="4">
        <f t="shared" si="1168"/>
        <v>650000</v>
      </c>
      <c r="V2097" s="4">
        <f t="shared" si="1168"/>
        <v>0</v>
      </c>
      <c r="W2097" s="4">
        <f t="shared" si="1168"/>
        <v>450000</v>
      </c>
      <c r="X2097" s="4">
        <f t="shared" si="1168"/>
        <v>0</v>
      </c>
      <c r="Y2097" s="4">
        <f t="shared" si="1168"/>
        <v>0</v>
      </c>
      <c r="Z2097" s="4">
        <f t="shared" si="1168"/>
        <v>0</v>
      </c>
      <c r="AA2097" s="4">
        <f t="shared" si="1168"/>
        <v>0</v>
      </c>
      <c r="AB2097" s="4">
        <f t="shared" si="1168"/>
        <v>0</v>
      </c>
      <c r="AC2097" s="4">
        <f t="shared" si="1168"/>
        <v>0</v>
      </c>
      <c r="AD2097" s="4">
        <f t="shared" si="1168"/>
        <v>0</v>
      </c>
    </row>
    <row r="2098" spans="1:30" s="20" customFormat="1" ht="36" customHeight="1" x14ac:dyDescent="0.25">
      <c r="A2098" s="2">
        <f>ROW()-ROW($A$11)-60</f>
        <v>2027</v>
      </c>
      <c r="B2098" s="3">
        <f t="shared" si="1116"/>
        <v>2027</v>
      </c>
      <c r="C2098" s="19" t="s">
        <v>1678</v>
      </c>
      <c r="D2098" s="4">
        <f t="shared" ref="D2098:D2112" si="1169">E2098+M2098+O2098+Q2098+S2098+T2098+U2098+V2098+W2098+X2098+Z2098+AA2098+AB2098+AC2098+AD2098</f>
        <v>29182340</v>
      </c>
      <c r="E2098" s="1">
        <f t="shared" ref="E2098:E2112" si="1170">SUM(F2098:K2098)</f>
        <v>22558545</v>
      </c>
      <c r="F2098" s="1">
        <f>804*5747.4</f>
        <v>4620909.5999999996</v>
      </c>
      <c r="G2098" s="1">
        <f>1693*5747.4</f>
        <v>9730348.1999999993</v>
      </c>
      <c r="H2098" s="1">
        <f>390*5747.4</f>
        <v>2241486</v>
      </c>
      <c r="I2098" s="1">
        <f>571*5747.4</f>
        <v>3281765.4</v>
      </c>
      <c r="J2098" s="1">
        <f>467*5747.4</f>
        <v>2684035.7999999998</v>
      </c>
      <c r="K2098" s="1">
        <v>0</v>
      </c>
      <c r="L2098" s="2">
        <v>0</v>
      </c>
      <c r="M2098" s="1">
        <v>0</v>
      </c>
      <c r="N2098" s="1">
        <v>578</v>
      </c>
      <c r="O2098" s="1">
        <f>N2098*7750</f>
        <v>4479500</v>
      </c>
      <c r="P2098" s="1">
        <v>0</v>
      </c>
      <c r="Q2098" s="1">
        <f t="shared" ref="Q2098:Q2145" si="1171">P2098*1400</f>
        <v>0</v>
      </c>
      <c r="R2098" s="1">
        <v>545</v>
      </c>
      <c r="S2098" s="1">
        <f t="shared" ref="S2098:S2145" si="1172">R2098*3751</f>
        <v>2044295</v>
      </c>
      <c r="T2098" s="1">
        <v>0</v>
      </c>
      <c r="U2098" s="1">
        <v>50000</v>
      </c>
      <c r="V2098" s="1">
        <v>0</v>
      </c>
      <c r="W2098" s="1">
        <v>50000</v>
      </c>
      <c r="X2098" s="1">
        <v>0</v>
      </c>
      <c r="Y2098" s="1">
        <v>0</v>
      </c>
      <c r="Z2098" s="1">
        <v>0</v>
      </c>
      <c r="AA2098" s="1">
        <v>0</v>
      </c>
      <c r="AB2098" s="1">
        <v>0</v>
      </c>
      <c r="AC2098" s="1">
        <v>0</v>
      </c>
      <c r="AD2098" s="1">
        <v>0</v>
      </c>
    </row>
    <row r="2099" spans="1:30" s="20" customFormat="1" ht="36" customHeight="1" x14ac:dyDescent="0.25">
      <c r="A2099" s="2">
        <f t="shared" ref="A2099:A2112" si="1173">ROW()-ROW($A$11)-60</f>
        <v>2028</v>
      </c>
      <c r="B2099" s="3">
        <f t="shared" si="1116"/>
        <v>2028</v>
      </c>
      <c r="C2099" s="19" t="s">
        <v>1679</v>
      </c>
      <c r="D2099" s="4">
        <f t="shared" si="1169"/>
        <v>29031770</v>
      </c>
      <c r="E2099" s="1">
        <f t="shared" si="1170"/>
        <v>14418095.000000002</v>
      </c>
      <c r="F2099" s="1">
        <f>804*3673.4</f>
        <v>2953413.6</v>
      </c>
      <c r="G2099" s="1">
        <f>1693*3673.4</f>
        <v>6219066.2000000002</v>
      </c>
      <c r="H2099" s="1">
        <f>390*3673.4</f>
        <v>1432626</v>
      </c>
      <c r="I2099" s="1">
        <f>571*3673.4</f>
        <v>2097511.4</v>
      </c>
      <c r="J2099" s="1">
        <f>467*3673.4</f>
        <v>1715477.8</v>
      </c>
      <c r="K2099" s="1">
        <v>0</v>
      </c>
      <c r="L2099" s="2">
        <v>0</v>
      </c>
      <c r="M2099" s="1">
        <v>0</v>
      </c>
      <c r="N2099" s="1">
        <v>932</v>
      </c>
      <c r="O2099" s="1">
        <f>N2099*7750</f>
        <v>7223000</v>
      </c>
      <c r="P2099" s="1">
        <v>50</v>
      </c>
      <c r="Q2099" s="1">
        <f t="shared" si="1171"/>
        <v>70000</v>
      </c>
      <c r="R2099" s="1">
        <v>1925</v>
      </c>
      <c r="S2099" s="1">
        <f t="shared" si="1172"/>
        <v>7220675</v>
      </c>
      <c r="T2099" s="1">
        <v>0</v>
      </c>
      <c r="U2099" s="1">
        <v>50000</v>
      </c>
      <c r="V2099" s="1">
        <v>0</v>
      </c>
      <c r="W2099" s="1">
        <v>50000</v>
      </c>
      <c r="X2099" s="1">
        <v>0</v>
      </c>
      <c r="Y2099" s="1">
        <v>0</v>
      </c>
      <c r="Z2099" s="1">
        <v>0</v>
      </c>
      <c r="AA2099" s="1">
        <v>0</v>
      </c>
      <c r="AB2099" s="1">
        <v>0</v>
      </c>
      <c r="AC2099" s="1">
        <v>0</v>
      </c>
      <c r="AD2099" s="1">
        <v>0</v>
      </c>
    </row>
    <row r="2100" spans="1:30" s="20" customFormat="1" ht="36" customHeight="1" x14ac:dyDescent="0.25">
      <c r="A2100" s="2">
        <f t="shared" si="1173"/>
        <v>2029</v>
      </c>
      <c r="B2100" s="3">
        <f t="shared" si="1116"/>
        <v>2029</v>
      </c>
      <c r="C2100" s="19" t="s">
        <v>1680</v>
      </c>
      <c r="D2100" s="4">
        <f t="shared" si="1169"/>
        <v>27688469.5</v>
      </c>
      <c r="E2100" s="1">
        <f t="shared" si="1170"/>
        <v>13051017.499999998</v>
      </c>
      <c r="F2100" s="1">
        <f>804*3325.1</f>
        <v>2673380.4</v>
      </c>
      <c r="G2100" s="1">
        <f>1693*3325.1</f>
        <v>5629394.2999999998</v>
      </c>
      <c r="H2100" s="1">
        <f>390*3325.1</f>
        <v>1296789</v>
      </c>
      <c r="I2100" s="1">
        <f>571*3325.1</f>
        <v>1898632.0999999999</v>
      </c>
      <c r="J2100" s="1">
        <f>467*3325.1</f>
        <v>1552821.7</v>
      </c>
      <c r="K2100" s="1">
        <v>0</v>
      </c>
      <c r="L2100" s="2">
        <v>0</v>
      </c>
      <c r="M2100" s="1">
        <v>0</v>
      </c>
      <c r="N2100" s="1">
        <v>922</v>
      </c>
      <c r="O2100" s="1">
        <f>N2100*7750</f>
        <v>7145500</v>
      </c>
      <c r="P2100" s="1">
        <v>50</v>
      </c>
      <c r="Q2100" s="1">
        <f t="shared" si="1171"/>
        <v>70000</v>
      </c>
      <c r="R2100" s="1">
        <v>1952</v>
      </c>
      <c r="S2100" s="1">
        <f t="shared" si="1172"/>
        <v>7321952</v>
      </c>
      <c r="T2100" s="1">
        <v>0</v>
      </c>
      <c r="U2100" s="1">
        <v>50000</v>
      </c>
      <c r="V2100" s="1">
        <v>0</v>
      </c>
      <c r="W2100" s="1">
        <v>50000</v>
      </c>
      <c r="X2100" s="1">
        <v>0</v>
      </c>
      <c r="Y2100" s="1">
        <v>0</v>
      </c>
      <c r="Z2100" s="1">
        <v>0</v>
      </c>
      <c r="AA2100" s="1">
        <v>0</v>
      </c>
      <c r="AB2100" s="1">
        <v>0</v>
      </c>
      <c r="AC2100" s="1">
        <v>0</v>
      </c>
      <c r="AD2100" s="1">
        <v>0</v>
      </c>
    </row>
    <row r="2101" spans="1:30" s="20" customFormat="1" ht="36" customHeight="1" x14ac:dyDescent="0.25">
      <c r="A2101" s="2">
        <f t="shared" si="1173"/>
        <v>2030</v>
      </c>
      <c r="B2101" s="3">
        <f t="shared" si="1116"/>
        <v>2030</v>
      </c>
      <c r="C2101" s="19" t="s">
        <v>1681</v>
      </c>
      <c r="D2101" s="4">
        <f t="shared" si="1169"/>
        <v>22126314.5</v>
      </c>
      <c r="E2101" s="1">
        <f t="shared" si="1170"/>
        <v>14634362.5</v>
      </c>
      <c r="F2101" s="1">
        <f>804*3728.5</f>
        <v>2997714</v>
      </c>
      <c r="G2101" s="1">
        <f>1693*3728.5</f>
        <v>6312350.5</v>
      </c>
      <c r="H2101" s="1">
        <f>390*3728.5</f>
        <v>1454115</v>
      </c>
      <c r="I2101" s="1">
        <f>571*3728.5</f>
        <v>2128973.5</v>
      </c>
      <c r="J2101" s="1">
        <f>467*3728.5</f>
        <v>1741209.5</v>
      </c>
      <c r="K2101" s="1">
        <v>0</v>
      </c>
      <c r="L2101" s="2">
        <v>0</v>
      </c>
      <c r="M2101" s="1">
        <v>0</v>
      </c>
      <c r="N2101" s="1">
        <v>0</v>
      </c>
      <c r="O2101" s="1">
        <v>0</v>
      </c>
      <c r="P2101" s="1">
        <v>50</v>
      </c>
      <c r="Q2101" s="1">
        <f t="shared" si="1171"/>
        <v>70000</v>
      </c>
      <c r="R2101" s="1">
        <v>1952</v>
      </c>
      <c r="S2101" s="1">
        <f t="shared" si="1172"/>
        <v>7321952</v>
      </c>
      <c r="T2101" s="1">
        <v>0</v>
      </c>
      <c r="U2101" s="1">
        <v>50000</v>
      </c>
      <c r="V2101" s="1">
        <v>0</v>
      </c>
      <c r="W2101" s="1">
        <v>50000</v>
      </c>
      <c r="X2101" s="1">
        <v>0</v>
      </c>
      <c r="Y2101" s="1">
        <v>0</v>
      </c>
      <c r="Z2101" s="1">
        <v>0</v>
      </c>
      <c r="AA2101" s="1">
        <v>0</v>
      </c>
      <c r="AB2101" s="1">
        <v>0</v>
      </c>
      <c r="AC2101" s="1">
        <v>0</v>
      </c>
      <c r="AD2101" s="1">
        <v>0</v>
      </c>
    </row>
    <row r="2102" spans="1:30" s="20" customFormat="1" ht="36" customHeight="1" x14ac:dyDescent="0.25">
      <c r="A2102" s="2">
        <f t="shared" si="1173"/>
        <v>2031</v>
      </c>
      <c r="B2102" s="3">
        <f t="shared" si="1116"/>
        <v>2031</v>
      </c>
      <c r="C2102" s="19" t="s">
        <v>1682</v>
      </c>
      <c r="D2102" s="4">
        <f t="shared" si="1169"/>
        <v>40087101.5</v>
      </c>
      <c r="E2102" s="1">
        <f t="shared" si="1170"/>
        <v>29024197.499999996</v>
      </c>
      <c r="F2102" s="1">
        <f>804*7394.7</f>
        <v>5945338.7999999998</v>
      </c>
      <c r="G2102" s="1">
        <f>1693*7394.7</f>
        <v>12519227.1</v>
      </c>
      <c r="H2102" s="1">
        <f>390*7394.7</f>
        <v>2883933</v>
      </c>
      <c r="I2102" s="1">
        <f>571*7394.7</f>
        <v>4222373.7</v>
      </c>
      <c r="J2102" s="1">
        <f>467*7394.7</f>
        <v>3453324.9</v>
      </c>
      <c r="K2102" s="1">
        <v>0</v>
      </c>
      <c r="L2102" s="2">
        <v>0</v>
      </c>
      <c r="M2102" s="1">
        <v>0</v>
      </c>
      <c r="N2102" s="1">
        <v>0</v>
      </c>
      <c r="O2102" s="1">
        <v>0</v>
      </c>
      <c r="P2102" s="1">
        <v>50</v>
      </c>
      <c r="Q2102" s="1">
        <f t="shared" si="1171"/>
        <v>70000</v>
      </c>
      <c r="R2102" s="1">
        <v>2904</v>
      </c>
      <c r="S2102" s="1">
        <f t="shared" si="1172"/>
        <v>10892904</v>
      </c>
      <c r="T2102" s="1">
        <v>0</v>
      </c>
      <c r="U2102" s="1">
        <v>50000</v>
      </c>
      <c r="V2102" s="1">
        <v>0</v>
      </c>
      <c r="W2102" s="1">
        <v>50000</v>
      </c>
      <c r="X2102" s="1">
        <v>0</v>
      </c>
      <c r="Y2102" s="1">
        <v>0</v>
      </c>
      <c r="Z2102" s="1">
        <v>0</v>
      </c>
      <c r="AA2102" s="1">
        <v>0</v>
      </c>
      <c r="AB2102" s="1">
        <v>0</v>
      </c>
      <c r="AC2102" s="1">
        <v>0</v>
      </c>
      <c r="AD2102" s="1">
        <v>0</v>
      </c>
    </row>
    <row r="2103" spans="1:30" s="20" customFormat="1" ht="36" customHeight="1" x14ac:dyDescent="0.25">
      <c r="A2103" s="2">
        <f t="shared" si="1173"/>
        <v>2032</v>
      </c>
      <c r="B2103" s="3">
        <f t="shared" si="1116"/>
        <v>2032</v>
      </c>
      <c r="C2103" s="19" t="s">
        <v>1264</v>
      </c>
      <c r="D2103" s="4">
        <f t="shared" si="1169"/>
        <v>6862672.5</v>
      </c>
      <c r="E2103" s="1">
        <f t="shared" si="1170"/>
        <v>936112.5</v>
      </c>
      <c r="F2103" s="1">
        <f>804*238.5</f>
        <v>191754</v>
      </c>
      <c r="G2103" s="1">
        <f>1693*238.5</f>
        <v>403780.5</v>
      </c>
      <c r="H2103" s="1">
        <f>390*238.5</f>
        <v>93015</v>
      </c>
      <c r="I2103" s="1">
        <f>571*238.5</f>
        <v>136183.5</v>
      </c>
      <c r="J2103" s="1">
        <f>467*238.5</f>
        <v>111379.5</v>
      </c>
      <c r="K2103" s="1">
        <v>0</v>
      </c>
      <c r="L2103" s="2">
        <v>0</v>
      </c>
      <c r="M2103" s="1">
        <v>0</v>
      </c>
      <c r="N2103" s="1">
        <v>750</v>
      </c>
      <c r="O2103" s="1">
        <f>N2103*4968</f>
        <v>3726000</v>
      </c>
      <c r="P2103" s="1">
        <v>0</v>
      </c>
      <c r="Q2103" s="1">
        <f t="shared" si="1171"/>
        <v>0</v>
      </c>
      <c r="R2103" s="1">
        <v>560</v>
      </c>
      <c r="S2103" s="1">
        <f t="shared" si="1172"/>
        <v>2100560</v>
      </c>
      <c r="T2103" s="1">
        <v>0</v>
      </c>
      <c r="U2103" s="1">
        <v>50000</v>
      </c>
      <c r="V2103" s="1">
        <v>0</v>
      </c>
      <c r="W2103" s="1">
        <v>50000</v>
      </c>
      <c r="X2103" s="1">
        <v>0</v>
      </c>
      <c r="Y2103" s="1">
        <v>0</v>
      </c>
      <c r="Z2103" s="1">
        <v>0</v>
      </c>
      <c r="AA2103" s="1">
        <v>0</v>
      </c>
      <c r="AB2103" s="1">
        <v>0</v>
      </c>
      <c r="AC2103" s="1">
        <v>0</v>
      </c>
      <c r="AD2103" s="1">
        <v>0</v>
      </c>
    </row>
    <row r="2104" spans="1:30" s="20" customFormat="1" ht="36" customHeight="1" x14ac:dyDescent="0.25">
      <c r="A2104" s="2">
        <f t="shared" si="1173"/>
        <v>2033</v>
      </c>
      <c r="B2104" s="3">
        <f t="shared" si="1116"/>
        <v>2033</v>
      </c>
      <c r="C2104" s="19" t="s">
        <v>2540</v>
      </c>
      <c r="D2104" s="4">
        <f t="shared" si="1169"/>
        <v>36431868</v>
      </c>
      <c r="E2104" s="1">
        <f t="shared" si="1170"/>
        <v>22850565.000000004</v>
      </c>
      <c r="F2104" s="1">
        <f>804*5821.8</f>
        <v>4680727.2</v>
      </c>
      <c r="G2104" s="1">
        <f>1693*5821.8</f>
        <v>9856307.4000000004</v>
      </c>
      <c r="H2104" s="1">
        <f>390*5821.8</f>
        <v>2270502</v>
      </c>
      <c r="I2104" s="1">
        <f>571*5821.8</f>
        <v>3324247.8000000003</v>
      </c>
      <c r="J2104" s="1">
        <f>467*5821.8</f>
        <v>2718780.6</v>
      </c>
      <c r="K2104" s="1">
        <v>0</v>
      </c>
      <c r="L2104" s="2">
        <v>0</v>
      </c>
      <c r="M2104" s="1">
        <v>0</v>
      </c>
      <c r="N2104" s="1">
        <v>1231</v>
      </c>
      <c r="O2104" s="1">
        <f>N2104*4968</f>
        <v>6115608</v>
      </c>
      <c r="P2104" s="1">
        <v>50</v>
      </c>
      <c r="Q2104" s="1">
        <f t="shared" si="1171"/>
        <v>70000</v>
      </c>
      <c r="R2104" s="1">
        <v>1945</v>
      </c>
      <c r="S2104" s="1">
        <f t="shared" si="1172"/>
        <v>7295695</v>
      </c>
      <c r="T2104" s="1">
        <v>0</v>
      </c>
      <c r="U2104" s="1">
        <v>50000</v>
      </c>
      <c r="V2104" s="1">
        <v>0</v>
      </c>
      <c r="W2104" s="1">
        <v>50000</v>
      </c>
      <c r="X2104" s="1">
        <v>0</v>
      </c>
      <c r="Y2104" s="1">
        <v>0</v>
      </c>
      <c r="Z2104" s="1">
        <v>0</v>
      </c>
      <c r="AA2104" s="1">
        <v>0</v>
      </c>
      <c r="AB2104" s="1">
        <v>0</v>
      </c>
      <c r="AC2104" s="1">
        <v>0</v>
      </c>
      <c r="AD2104" s="1">
        <v>0</v>
      </c>
    </row>
    <row r="2105" spans="1:30" s="21" customFormat="1" ht="35.1" customHeight="1" x14ac:dyDescent="0.25">
      <c r="A2105" s="2">
        <f t="shared" si="1173"/>
        <v>2034</v>
      </c>
      <c r="B2105" s="6">
        <f t="shared" si="1116"/>
        <v>2034</v>
      </c>
      <c r="C2105" s="19" t="s">
        <v>2541</v>
      </c>
      <c r="D2105" s="8">
        <f t="shared" si="1169"/>
        <v>5438950</v>
      </c>
      <c r="E2105" s="1">
        <f t="shared" si="1170"/>
        <v>0</v>
      </c>
      <c r="F2105" s="1">
        <v>0</v>
      </c>
      <c r="G2105" s="1">
        <v>0</v>
      </c>
      <c r="H2105" s="1">
        <v>0</v>
      </c>
      <c r="I2105" s="1">
        <v>0</v>
      </c>
      <c r="J2105" s="1">
        <v>0</v>
      </c>
      <c r="K2105" s="1">
        <v>0</v>
      </c>
      <c r="L2105" s="2">
        <v>0</v>
      </c>
      <c r="M2105" s="1">
        <v>0</v>
      </c>
      <c r="N2105" s="1">
        <v>0</v>
      </c>
      <c r="O2105" s="1">
        <f>N2105*7750</f>
        <v>0</v>
      </c>
      <c r="P2105" s="1">
        <v>0</v>
      </c>
      <c r="Q2105" s="1">
        <f t="shared" si="1171"/>
        <v>0</v>
      </c>
      <c r="R2105" s="1">
        <v>1450</v>
      </c>
      <c r="S2105" s="1">
        <f t="shared" si="1172"/>
        <v>5438950</v>
      </c>
      <c r="T2105" s="1">
        <v>0</v>
      </c>
      <c r="U2105" s="1">
        <v>0</v>
      </c>
      <c r="V2105" s="1">
        <v>0</v>
      </c>
      <c r="W2105" s="1">
        <v>0</v>
      </c>
      <c r="X2105" s="1">
        <v>0</v>
      </c>
      <c r="Y2105" s="1">
        <v>0</v>
      </c>
      <c r="Z2105" s="1">
        <v>0</v>
      </c>
      <c r="AA2105" s="1">
        <v>0</v>
      </c>
      <c r="AB2105" s="1">
        <v>0</v>
      </c>
      <c r="AC2105" s="1">
        <v>0</v>
      </c>
      <c r="AD2105" s="1">
        <v>0</v>
      </c>
    </row>
    <row r="2106" spans="1:30" s="20" customFormat="1" ht="36" customHeight="1" x14ac:dyDescent="0.25">
      <c r="A2106" s="2">
        <f t="shared" si="1173"/>
        <v>2035</v>
      </c>
      <c r="B2106" s="3">
        <f t="shared" si="1116"/>
        <v>2035</v>
      </c>
      <c r="C2106" s="19" t="s">
        <v>2542</v>
      </c>
      <c r="D2106" s="4">
        <f t="shared" si="1169"/>
        <v>35157631.5</v>
      </c>
      <c r="E2106" s="1">
        <f t="shared" si="1170"/>
        <v>21235427.500000004</v>
      </c>
      <c r="F2106" s="1">
        <f>804*5410.3</f>
        <v>4349881.2</v>
      </c>
      <c r="G2106" s="1">
        <f>1693*5410.3</f>
        <v>9159637.9000000004</v>
      </c>
      <c r="H2106" s="1">
        <f>390*5410.3</f>
        <v>2110017</v>
      </c>
      <c r="I2106" s="1">
        <f>571*5410.3</f>
        <v>3089281.3000000003</v>
      </c>
      <c r="J2106" s="1">
        <f>467*5410.3</f>
        <v>2526610.1</v>
      </c>
      <c r="K2106" s="1">
        <v>0</v>
      </c>
      <c r="L2106" s="2">
        <v>0</v>
      </c>
      <c r="M2106" s="1">
        <v>0</v>
      </c>
      <c r="N2106" s="1">
        <v>1243</v>
      </c>
      <c r="O2106" s="1">
        <f>N2106*4968</f>
        <v>6175224</v>
      </c>
      <c r="P2106" s="1">
        <v>50</v>
      </c>
      <c r="Q2106" s="1">
        <f t="shared" si="1171"/>
        <v>70000</v>
      </c>
      <c r="R2106" s="1">
        <v>1980</v>
      </c>
      <c r="S2106" s="1">
        <f t="shared" si="1172"/>
        <v>7426980</v>
      </c>
      <c r="T2106" s="1">
        <v>150000</v>
      </c>
      <c r="U2106" s="1">
        <v>50000</v>
      </c>
      <c r="V2106" s="1">
        <v>0</v>
      </c>
      <c r="W2106" s="1">
        <v>50000</v>
      </c>
      <c r="X2106" s="1">
        <v>0</v>
      </c>
      <c r="Y2106" s="1">
        <v>0</v>
      </c>
      <c r="Z2106" s="1">
        <v>0</v>
      </c>
      <c r="AA2106" s="1">
        <v>0</v>
      </c>
      <c r="AB2106" s="1">
        <v>0</v>
      </c>
      <c r="AC2106" s="1">
        <v>0</v>
      </c>
      <c r="AD2106" s="1">
        <v>0</v>
      </c>
    </row>
    <row r="2107" spans="1:30" s="21" customFormat="1" ht="35.1" customHeight="1" x14ac:dyDescent="0.25">
      <c r="A2107" s="2">
        <f t="shared" si="1173"/>
        <v>2036</v>
      </c>
      <c r="B2107" s="6">
        <f t="shared" si="1116"/>
        <v>2036</v>
      </c>
      <c r="C2107" s="19" t="s">
        <v>2543</v>
      </c>
      <c r="D2107" s="8">
        <f t="shared" si="1169"/>
        <v>3584069.9999999995</v>
      </c>
      <c r="E2107" s="1">
        <f t="shared" si="1170"/>
        <v>3534069.9999999995</v>
      </c>
      <c r="F2107" s="1">
        <f>804*900.4</f>
        <v>723921.6</v>
      </c>
      <c r="G2107" s="1">
        <f>1693*900.4</f>
        <v>1524377.2</v>
      </c>
      <c r="H2107" s="1">
        <f>390*900.4</f>
        <v>351156</v>
      </c>
      <c r="I2107" s="1">
        <f>571*900.4</f>
        <v>514128.39999999997</v>
      </c>
      <c r="J2107" s="1">
        <f>467*900.4</f>
        <v>420486.8</v>
      </c>
      <c r="K2107" s="1">
        <v>0</v>
      </c>
      <c r="L2107" s="2">
        <v>0</v>
      </c>
      <c r="M2107" s="1">
        <v>0</v>
      </c>
      <c r="N2107" s="1">
        <v>0</v>
      </c>
      <c r="O2107" s="1">
        <f>N2107*7750</f>
        <v>0</v>
      </c>
      <c r="P2107" s="1">
        <v>0</v>
      </c>
      <c r="Q2107" s="1">
        <f t="shared" si="1171"/>
        <v>0</v>
      </c>
      <c r="R2107" s="1">
        <v>0</v>
      </c>
      <c r="S2107" s="1">
        <f t="shared" si="1172"/>
        <v>0</v>
      </c>
      <c r="T2107" s="1">
        <v>0</v>
      </c>
      <c r="U2107" s="1">
        <v>50000</v>
      </c>
      <c r="V2107" s="1">
        <v>0</v>
      </c>
      <c r="W2107" s="1">
        <v>0</v>
      </c>
      <c r="X2107" s="1">
        <v>0</v>
      </c>
      <c r="Y2107" s="1">
        <v>0</v>
      </c>
      <c r="Z2107" s="1">
        <v>0</v>
      </c>
      <c r="AA2107" s="1">
        <v>0</v>
      </c>
      <c r="AB2107" s="1">
        <v>0</v>
      </c>
      <c r="AC2107" s="1">
        <v>0</v>
      </c>
      <c r="AD2107" s="1">
        <v>0</v>
      </c>
    </row>
    <row r="2108" spans="1:30" s="21" customFormat="1" ht="35.1" customHeight="1" x14ac:dyDescent="0.25">
      <c r="A2108" s="2">
        <f t="shared" si="1173"/>
        <v>2037</v>
      </c>
      <c r="B2108" s="6">
        <f t="shared" ref="B2108" si="1174">A2108</f>
        <v>2037</v>
      </c>
      <c r="C2108" s="19" t="s">
        <v>2544</v>
      </c>
      <c r="D2108" s="8">
        <f t="shared" si="1169"/>
        <v>2707617.5000000005</v>
      </c>
      <c r="E2108" s="1">
        <f t="shared" ref="E2108" si="1175">SUM(F2108:K2108)</f>
        <v>2657617.5000000005</v>
      </c>
      <c r="F2108" s="1">
        <f>804*677.1</f>
        <v>544388.4</v>
      </c>
      <c r="G2108" s="1">
        <f>1693*677.1</f>
        <v>1146330.3</v>
      </c>
      <c r="H2108" s="1">
        <f>390*677.1</f>
        <v>264069</v>
      </c>
      <c r="I2108" s="1">
        <f>571*677.1</f>
        <v>386624.10000000003</v>
      </c>
      <c r="J2108" s="1">
        <f>467*677.1</f>
        <v>316205.7</v>
      </c>
      <c r="K2108" s="1">
        <v>0</v>
      </c>
      <c r="L2108" s="2">
        <v>0</v>
      </c>
      <c r="M2108" s="1">
        <v>0</v>
      </c>
      <c r="N2108" s="1">
        <v>0</v>
      </c>
      <c r="O2108" s="1">
        <f>N2108*7750</f>
        <v>0</v>
      </c>
      <c r="P2108" s="1">
        <v>0</v>
      </c>
      <c r="Q2108" s="1">
        <f t="shared" ref="Q2108" si="1176">P2108*1400</f>
        <v>0</v>
      </c>
      <c r="R2108" s="1">
        <v>0</v>
      </c>
      <c r="S2108" s="1">
        <f t="shared" ref="S2108" si="1177">R2108*3751</f>
        <v>0</v>
      </c>
      <c r="T2108" s="1">
        <v>0</v>
      </c>
      <c r="U2108" s="1">
        <v>50000</v>
      </c>
      <c r="V2108" s="1">
        <v>0</v>
      </c>
      <c r="W2108" s="1">
        <v>0</v>
      </c>
      <c r="X2108" s="1">
        <v>0</v>
      </c>
      <c r="Y2108" s="1">
        <v>0</v>
      </c>
      <c r="Z2108" s="1">
        <v>0</v>
      </c>
      <c r="AA2108" s="1">
        <v>0</v>
      </c>
      <c r="AB2108" s="1">
        <v>0</v>
      </c>
      <c r="AC2108" s="1">
        <v>0</v>
      </c>
      <c r="AD2108" s="1">
        <v>0</v>
      </c>
    </row>
    <row r="2109" spans="1:30" s="21" customFormat="1" ht="35.1" customHeight="1" x14ac:dyDescent="0.25">
      <c r="A2109" s="2">
        <f t="shared" si="1173"/>
        <v>2038</v>
      </c>
      <c r="B2109" s="6">
        <f t="shared" ref="B2109:B2110" si="1178">A2109</f>
        <v>2038</v>
      </c>
      <c r="C2109" s="19" t="s">
        <v>2545</v>
      </c>
      <c r="D2109" s="8">
        <f t="shared" si="1169"/>
        <v>2467800</v>
      </c>
      <c r="E2109" s="1">
        <f t="shared" ref="E2109:E2110" si="1179">SUM(F2109:K2109)</f>
        <v>2417800</v>
      </c>
      <c r="F2109" s="1">
        <f>804*616</f>
        <v>495264</v>
      </c>
      <c r="G2109" s="1">
        <f>1693*616</f>
        <v>1042888</v>
      </c>
      <c r="H2109" s="1">
        <f>390*616</f>
        <v>240240</v>
      </c>
      <c r="I2109" s="1">
        <f>571*616</f>
        <v>351736</v>
      </c>
      <c r="J2109" s="1">
        <f>467*616</f>
        <v>287672</v>
      </c>
      <c r="K2109" s="1">
        <v>0</v>
      </c>
      <c r="L2109" s="2">
        <v>0</v>
      </c>
      <c r="M2109" s="1">
        <v>0</v>
      </c>
      <c r="N2109" s="1">
        <v>0</v>
      </c>
      <c r="O2109" s="1">
        <f>N2109*7750</f>
        <v>0</v>
      </c>
      <c r="P2109" s="1">
        <v>0</v>
      </c>
      <c r="Q2109" s="1">
        <f t="shared" ref="Q2109:Q2110" si="1180">P2109*1400</f>
        <v>0</v>
      </c>
      <c r="R2109" s="1">
        <v>0</v>
      </c>
      <c r="S2109" s="1">
        <f t="shared" ref="S2109:S2110" si="1181">R2109*3751</f>
        <v>0</v>
      </c>
      <c r="T2109" s="1">
        <v>0</v>
      </c>
      <c r="U2109" s="1">
        <v>50000</v>
      </c>
      <c r="V2109" s="1">
        <v>0</v>
      </c>
      <c r="W2109" s="1">
        <v>0</v>
      </c>
      <c r="X2109" s="1">
        <v>0</v>
      </c>
      <c r="Y2109" s="1">
        <v>0</v>
      </c>
      <c r="Z2109" s="1">
        <v>0</v>
      </c>
      <c r="AA2109" s="1">
        <v>0</v>
      </c>
      <c r="AB2109" s="1">
        <v>0</v>
      </c>
      <c r="AC2109" s="1">
        <v>0</v>
      </c>
      <c r="AD2109" s="1">
        <v>0</v>
      </c>
    </row>
    <row r="2110" spans="1:30" s="21" customFormat="1" ht="35.1" customHeight="1" x14ac:dyDescent="0.25">
      <c r="A2110" s="2">
        <f t="shared" si="1173"/>
        <v>2039</v>
      </c>
      <c r="B2110" s="6">
        <f t="shared" si="1178"/>
        <v>2039</v>
      </c>
      <c r="C2110" s="19" t="s">
        <v>2546</v>
      </c>
      <c r="D2110" s="8">
        <f t="shared" si="1169"/>
        <v>1950520</v>
      </c>
      <c r="E2110" s="1">
        <f t="shared" si="1179"/>
        <v>0</v>
      </c>
      <c r="F2110" s="1">
        <v>0</v>
      </c>
      <c r="G2110" s="1">
        <v>0</v>
      </c>
      <c r="H2110" s="1">
        <v>0</v>
      </c>
      <c r="I2110" s="1">
        <v>0</v>
      </c>
      <c r="J2110" s="1">
        <v>0</v>
      </c>
      <c r="K2110" s="1">
        <v>0</v>
      </c>
      <c r="L2110" s="2">
        <v>0</v>
      </c>
      <c r="M2110" s="1">
        <v>0</v>
      </c>
      <c r="N2110" s="1">
        <v>0</v>
      </c>
      <c r="O2110" s="1">
        <f>N2110*7750</f>
        <v>0</v>
      </c>
      <c r="P2110" s="1">
        <v>0</v>
      </c>
      <c r="Q2110" s="1">
        <f t="shared" si="1180"/>
        <v>0</v>
      </c>
      <c r="R2110" s="1">
        <v>520</v>
      </c>
      <c r="S2110" s="1">
        <f t="shared" si="1181"/>
        <v>1950520</v>
      </c>
      <c r="T2110" s="1">
        <v>0</v>
      </c>
      <c r="U2110" s="1">
        <v>0</v>
      </c>
      <c r="V2110" s="1">
        <v>0</v>
      </c>
      <c r="W2110" s="1">
        <v>0</v>
      </c>
      <c r="X2110" s="1">
        <v>0</v>
      </c>
      <c r="Y2110" s="1">
        <v>0</v>
      </c>
      <c r="Z2110" s="1">
        <v>0</v>
      </c>
      <c r="AA2110" s="1">
        <v>0</v>
      </c>
      <c r="AB2110" s="1">
        <v>0</v>
      </c>
      <c r="AC2110" s="1">
        <v>0</v>
      </c>
      <c r="AD2110" s="1">
        <v>0</v>
      </c>
    </row>
    <row r="2111" spans="1:30" s="20" customFormat="1" ht="36" customHeight="1" x14ac:dyDescent="0.25">
      <c r="A2111" s="2">
        <f t="shared" si="1173"/>
        <v>2040</v>
      </c>
      <c r="B2111" s="3">
        <f t="shared" si="1116"/>
        <v>2040</v>
      </c>
      <c r="C2111" s="19" t="s">
        <v>2547</v>
      </c>
      <c r="D2111" s="4">
        <f t="shared" si="1169"/>
        <v>12305919.5</v>
      </c>
      <c r="E2111" s="1">
        <f t="shared" si="1170"/>
        <v>1042087.5</v>
      </c>
      <c r="F2111" s="1">
        <f>804*265.5</f>
        <v>213462</v>
      </c>
      <c r="G2111" s="1">
        <f>1693*265.5</f>
        <v>449491.5</v>
      </c>
      <c r="H2111" s="1">
        <f>390*265.5</f>
        <v>103545</v>
      </c>
      <c r="I2111" s="1">
        <f>571*265.5</f>
        <v>151600.5</v>
      </c>
      <c r="J2111" s="1">
        <f>467*265.5</f>
        <v>123988.5</v>
      </c>
      <c r="K2111" s="1">
        <v>0</v>
      </c>
      <c r="L2111" s="2">
        <v>0</v>
      </c>
      <c r="M2111" s="1">
        <v>0</v>
      </c>
      <c r="N2111" s="1">
        <v>874</v>
      </c>
      <c r="O2111" s="1">
        <f>N2111*4968</f>
        <v>4342032</v>
      </c>
      <c r="P2111" s="1">
        <v>50</v>
      </c>
      <c r="Q2111" s="1">
        <f t="shared" si="1171"/>
        <v>70000</v>
      </c>
      <c r="R2111" s="1">
        <v>1800</v>
      </c>
      <c r="S2111" s="1">
        <f t="shared" si="1172"/>
        <v>6751800</v>
      </c>
      <c r="T2111" s="1">
        <v>0</v>
      </c>
      <c r="U2111" s="1">
        <v>50000</v>
      </c>
      <c r="V2111" s="1">
        <v>0</v>
      </c>
      <c r="W2111" s="1">
        <v>50000</v>
      </c>
      <c r="X2111" s="1">
        <v>0</v>
      </c>
      <c r="Y2111" s="1">
        <v>0</v>
      </c>
      <c r="Z2111" s="1">
        <v>0</v>
      </c>
      <c r="AA2111" s="1">
        <v>0</v>
      </c>
      <c r="AB2111" s="1">
        <v>0</v>
      </c>
      <c r="AC2111" s="1">
        <v>0</v>
      </c>
      <c r="AD2111" s="1">
        <v>0</v>
      </c>
    </row>
    <row r="2112" spans="1:30" s="21" customFormat="1" ht="35.1" customHeight="1" x14ac:dyDescent="0.25">
      <c r="A2112" s="2">
        <f t="shared" si="1173"/>
        <v>2041</v>
      </c>
      <c r="B2112" s="6">
        <f t="shared" si="1116"/>
        <v>2041</v>
      </c>
      <c r="C2112" s="19" t="s">
        <v>2058</v>
      </c>
      <c r="D2112" s="8">
        <f t="shared" si="1169"/>
        <v>401370</v>
      </c>
      <c r="E2112" s="1">
        <f t="shared" si="1170"/>
        <v>351370</v>
      </c>
      <c r="F2112" s="1">
        <v>0</v>
      </c>
      <c r="G2112" s="1">
        <v>0</v>
      </c>
      <c r="H2112" s="1">
        <f>390*410</f>
        <v>159900</v>
      </c>
      <c r="I2112" s="1">
        <v>0</v>
      </c>
      <c r="J2112" s="1">
        <f>467*410</f>
        <v>191470</v>
      </c>
      <c r="K2112" s="1">
        <v>0</v>
      </c>
      <c r="L2112" s="2">
        <v>0</v>
      </c>
      <c r="M2112" s="1">
        <v>0</v>
      </c>
      <c r="N2112" s="1">
        <v>0</v>
      </c>
      <c r="O2112" s="1">
        <f>N2112*7750</f>
        <v>0</v>
      </c>
      <c r="P2112" s="1">
        <v>0</v>
      </c>
      <c r="Q2112" s="1">
        <f t="shared" si="1171"/>
        <v>0</v>
      </c>
      <c r="R2112" s="1">
        <v>0</v>
      </c>
      <c r="S2112" s="1">
        <f t="shared" si="1172"/>
        <v>0</v>
      </c>
      <c r="T2112" s="1">
        <v>0</v>
      </c>
      <c r="U2112" s="1">
        <v>50000</v>
      </c>
      <c r="V2112" s="1">
        <v>0</v>
      </c>
      <c r="W2112" s="1">
        <v>0</v>
      </c>
      <c r="X2112" s="1">
        <v>0</v>
      </c>
      <c r="Y2112" s="1">
        <v>0</v>
      </c>
      <c r="Z2112" s="1">
        <v>0</v>
      </c>
      <c r="AA2112" s="1">
        <v>0</v>
      </c>
      <c r="AB2112" s="1">
        <v>0</v>
      </c>
      <c r="AC2112" s="1">
        <v>0</v>
      </c>
      <c r="AD2112" s="1">
        <v>0</v>
      </c>
    </row>
    <row r="2113" spans="1:30" s="20" customFormat="1" ht="54.95" customHeight="1" x14ac:dyDescent="0.25">
      <c r="A2113" s="3"/>
      <c r="B2113" s="47" t="s">
        <v>1972</v>
      </c>
      <c r="C2113" s="48"/>
      <c r="D2113" s="4">
        <f>SUM(D2114:D2128)</f>
        <v>91817934.200000003</v>
      </c>
      <c r="E2113" s="4">
        <f t="shared" ref="E2113:AC2113" si="1182">SUM(E2114:E2128)</f>
        <v>23842972.200000003</v>
      </c>
      <c r="F2113" s="4">
        <f t="shared" si="1182"/>
        <v>5858587.2000000002</v>
      </c>
      <c r="G2113" s="4">
        <f t="shared" si="1182"/>
        <v>11940221.100000001</v>
      </c>
      <c r="H2113" s="4">
        <f t="shared" si="1182"/>
        <v>2750553</v>
      </c>
      <c r="I2113" s="4">
        <f t="shared" si="1182"/>
        <v>0</v>
      </c>
      <c r="J2113" s="4">
        <f t="shared" si="1182"/>
        <v>3293610.9000000004</v>
      </c>
      <c r="K2113" s="4">
        <f t="shared" si="1182"/>
        <v>0</v>
      </c>
      <c r="L2113" s="17">
        <f t="shared" si="1182"/>
        <v>0</v>
      </c>
      <c r="M2113" s="4">
        <f t="shared" si="1182"/>
        <v>0</v>
      </c>
      <c r="N2113" s="4">
        <f t="shared" si="1182"/>
        <v>4416</v>
      </c>
      <c r="O2113" s="4">
        <f t="shared" si="1182"/>
        <v>34224000</v>
      </c>
      <c r="P2113" s="4">
        <f t="shared" si="1182"/>
        <v>150</v>
      </c>
      <c r="Q2113" s="4">
        <f t="shared" si="1182"/>
        <v>210000</v>
      </c>
      <c r="R2113" s="4">
        <f t="shared" si="1182"/>
        <v>8462</v>
      </c>
      <c r="S2113" s="4">
        <f t="shared" si="1182"/>
        <v>31740962</v>
      </c>
      <c r="T2113" s="4">
        <f t="shared" si="1182"/>
        <v>450000</v>
      </c>
      <c r="U2113" s="4">
        <f t="shared" si="1182"/>
        <v>700000</v>
      </c>
      <c r="V2113" s="4">
        <f t="shared" si="1182"/>
        <v>0</v>
      </c>
      <c r="W2113" s="4">
        <f t="shared" si="1182"/>
        <v>650000</v>
      </c>
      <c r="X2113" s="4">
        <f t="shared" si="1182"/>
        <v>0</v>
      </c>
      <c r="Y2113" s="4">
        <f t="shared" si="1182"/>
        <v>0</v>
      </c>
      <c r="Z2113" s="4">
        <f t="shared" si="1182"/>
        <v>0</v>
      </c>
      <c r="AA2113" s="4">
        <f t="shared" si="1182"/>
        <v>0</v>
      </c>
      <c r="AB2113" s="4">
        <f t="shared" si="1182"/>
        <v>0</v>
      </c>
      <c r="AC2113" s="4">
        <f t="shared" si="1182"/>
        <v>0</v>
      </c>
      <c r="AD2113" s="4">
        <f>SUM(AD2114:AD2128)</f>
        <v>0</v>
      </c>
    </row>
    <row r="2114" spans="1:30" s="20" customFormat="1" ht="36" customHeight="1" x14ac:dyDescent="0.25">
      <c r="A2114" s="2">
        <f>ROW()-ROW($A$11)-61</f>
        <v>2042</v>
      </c>
      <c r="B2114" s="3">
        <f t="shared" si="1116"/>
        <v>2042</v>
      </c>
      <c r="C2114" s="19" t="s">
        <v>1265</v>
      </c>
      <c r="D2114" s="4">
        <f t="shared" ref="D2114:D2128" si="1183">E2114+M2114+O2114+Q2114+S2114+T2114+U2114+V2114+W2114+X2114+Z2114+AA2114+AB2114+AC2114+AD2114</f>
        <v>5419965</v>
      </c>
      <c r="E2114" s="1">
        <f t="shared" ref="E2114:E2128" si="1184">SUM(F2114:K2114)</f>
        <v>1209117</v>
      </c>
      <c r="F2114" s="1">
        <f>804*360.5</f>
        <v>289842</v>
      </c>
      <c r="G2114" s="1">
        <f>1693*360.5</f>
        <v>610326.5</v>
      </c>
      <c r="H2114" s="1">
        <f>390*360.5</f>
        <v>140595</v>
      </c>
      <c r="I2114" s="1">
        <v>0</v>
      </c>
      <c r="J2114" s="1">
        <f>467*360.5</f>
        <v>168353.5</v>
      </c>
      <c r="K2114" s="1">
        <v>0</v>
      </c>
      <c r="L2114" s="2">
        <v>0</v>
      </c>
      <c r="M2114" s="1">
        <v>0</v>
      </c>
      <c r="N2114" s="1">
        <v>362</v>
      </c>
      <c r="O2114" s="1">
        <f>N2114*7750</f>
        <v>2805500</v>
      </c>
      <c r="P2114" s="1">
        <v>0</v>
      </c>
      <c r="Q2114" s="1">
        <f t="shared" si="1171"/>
        <v>0</v>
      </c>
      <c r="R2114" s="1">
        <v>348</v>
      </c>
      <c r="S2114" s="1">
        <f t="shared" si="1172"/>
        <v>1305348</v>
      </c>
      <c r="T2114" s="1">
        <v>0</v>
      </c>
      <c r="U2114" s="1">
        <v>50000</v>
      </c>
      <c r="V2114" s="1">
        <v>0</v>
      </c>
      <c r="W2114" s="1">
        <v>50000</v>
      </c>
      <c r="X2114" s="1">
        <v>0</v>
      </c>
      <c r="Y2114" s="1">
        <v>0</v>
      </c>
      <c r="Z2114" s="1">
        <v>0</v>
      </c>
      <c r="AA2114" s="1">
        <v>0</v>
      </c>
      <c r="AB2114" s="1">
        <v>0</v>
      </c>
      <c r="AC2114" s="1">
        <v>0</v>
      </c>
      <c r="AD2114" s="1">
        <v>0</v>
      </c>
    </row>
    <row r="2115" spans="1:30" s="20" customFormat="1" ht="36" customHeight="1" x14ac:dyDescent="0.25">
      <c r="A2115" s="2">
        <f t="shared" ref="A2115:A2128" si="1185">ROW()-ROW($A$11)-61</f>
        <v>2043</v>
      </c>
      <c r="B2115" s="3">
        <f t="shared" si="1116"/>
        <v>2043</v>
      </c>
      <c r="C2115" s="19" t="s">
        <v>1266</v>
      </c>
      <c r="D2115" s="4">
        <f t="shared" si="1183"/>
        <v>8513249.1999999993</v>
      </c>
      <c r="E2115" s="1">
        <f t="shared" si="1184"/>
        <v>2196199.1999999997</v>
      </c>
      <c r="F2115" s="1">
        <f>804*654.8</f>
        <v>526459.19999999995</v>
      </c>
      <c r="G2115" s="1">
        <f>1693*654.8</f>
        <v>1108576.3999999999</v>
      </c>
      <c r="H2115" s="1">
        <f>390*654.8</f>
        <v>255371.99999999997</v>
      </c>
      <c r="I2115" s="1">
        <v>0</v>
      </c>
      <c r="J2115" s="1">
        <f>467*654.8</f>
        <v>305791.59999999998</v>
      </c>
      <c r="K2115" s="1">
        <v>0</v>
      </c>
      <c r="L2115" s="2">
        <v>0</v>
      </c>
      <c r="M2115" s="1">
        <v>0</v>
      </c>
      <c r="N2115" s="1">
        <v>657</v>
      </c>
      <c r="O2115" s="1">
        <f t="shared" ref="O2115:O2123" si="1186">N2115*7750</f>
        <v>5091750</v>
      </c>
      <c r="P2115" s="1">
        <v>0</v>
      </c>
      <c r="Q2115" s="1">
        <f t="shared" si="1171"/>
        <v>0</v>
      </c>
      <c r="R2115" s="1">
        <v>300</v>
      </c>
      <c r="S2115" s="1">
        <f t="shared" si="1172"/>
        <v>1125300</v>
      </c>
      <c r="T2115" s="1">
        <v>0</v>
      </c>
      <c r="U2115" s="1">
        <v>50000</v>
      </c>
      <c r="V2115" s="1">
        <v>0</v>
      </c>
      <c r="W2115" s="1">
        <v>50000</v>
      </c>
      <c r="X2115" s="1">
        <v>0</v>
      </c>
      <c r="Y2115" s="1">
        <v>0</v>
      </c>
      <c r="Z2115" s="1">
        <v>0</v>
      </c>
      <c r="AA2115" s="1">
        <v>0</v>
      </c>
      <c r="AB2115" s="1">
        <v>0</v>
      </c>
      <c r="AC2115" s="1">
        <v>0</v>
      </c>
      <c r="AD2115" s="1">
        <v>0</v>
      </c>
    </row>
    <row r="2116" spans="1:30" s="20" customFormat="1" ht="36" customHeight="1" x14ac:dyDescent="0.25">
      <c r="A2116" s="2">
        <f t="shared" si="1185"/>
        <v>2044</v>
      </c>
      <c r="B2116" s="3">
        <f t="shared" si="1116"/>
        <v>2044</v>
      </c>
      <c r="C2116" s="19" t="s">
        <v>2062</v>
      </c>
      <c r="D2116" s="4">
        <f t="shared" si="1183"/>
        <v>7004193.6000000006</v>
      </c>
      <c r="E2116" s="1">
        <f t="shared" si="1184"/>
        <v>3563289.6000000006</v>
      </c>
      <c r="F2116" s="1">
        <f>804*1062.4</f>
        <v>854169.60000000009</v>
      </c>
      <c r="G2116" s="1">
        <f>1693*1062.4</f>
        <v>1798643.2000000002</v>
      </c>
      <c r="H2116" s="1">
        <f>390*1062.4</f>
        <v>414336.00000000006</v>
      </c>
      <c r="I2116" s="1">
        <v>0</v>
      </c>
      <c r="J2116" s="1">
        <f>467*1062.4</f>
        <v>496140.80000000005</v>
      </c>
      <c r="K2116" s="1">
        <v>0</v>
      </c>
      <c r="L2116" s="2">
        <v>0</v>
      </c>
      <c r="M2116" s="1">
        <v>0</v>
      </c>
      <c r="N2116" s="1">
        <v>0</v>
      </c>
      <c r="O2116" s="1">
        <f t="shared" si="1186"/>
        <v>0</v>
      </c>
      <c r="P2116" s="1">
        <v>0</v>
      </c>
      <c r="Q2116" s="1">
        <f t="shared" si="1171"/>
        <v>0</v>
      </c>
      <c r="R2116" s="1">
        <v>904</v>
      </c>
      <c r="S2116" s="1">
        <f t="shared" si="1172"/>
        <v>3390904</v>
      </c>
      <c r="T2116" s="1">
        <v>0</v>
      </c>
      <c r="U2116" s="1">
        <v>50000</v>
      </c>
      <c r="V2116" s="1">
        <v>0</v>
      </c>
      <c r="W2116" s="1">
        <v>0</v>
      </c>
      <c r="X2116" s="1">
        <v>0</v>
      </c>
      <c r="Y2116" s="1">
        <v>0</v>
      </c>
      <c r="Z2116" s="1">
        <v>0</v>
      </c>
      <c r="AA2116" s="1">
        <v>0</v>
      </c>
      <c r="AB2116" s="1">
        <v>0</v>
      </c>
      <c r="AC2116" s="1">
        <v>0</v>
      </c>
      <c r="AD2116" s="1">
        <v>0</v>
      </c>
    </row>
    <row r="2117" spans="1:30" s="20" customFormat="1" ht="36" customHeight="1" x14ac:dyDescent="0.25">
      <c r="A2117" s="2">
        <f t="shared" si="1185"/>
        <v>2045</v>
      </c>
      <c r="B2117" s="3">
        <f t="shared" ref="B2117" si="1187">A2117</f>
        <v>2045</v>
      </c>
      <c r="C2117" s="19" t="s">
        <v>2061</v>
      </c>
      <c r="D2117" s="4">
        <f t="shared" si="1183"/>
        <v>5487255.4000000004</v>
      </c>
      <c r="E2117" s="1">
        <f t="shared" ref="E2117" si="1188">SUM(F2117:K2117)</f>
        <v>2695274.4000000004</v>
      </c>
      <c r="F2117" s="1">
        <f>804*803.6</f>
        <v>646094.4</v>
      </c>
      <c r="G2117" s="1">
        <f>1693*803.6</f>
        <v>1360494.8</v>
      </c>
      <c r="H2117" s="1">
        <f>390*803.6</f>
        <v>313404</v>
      </c>
      <c r="I2117" s="1">
        <v>0</v>
      </c>
      <c r="J2117" s="1">
        <f>467*803.6</f>
        <v>375281.2</v>
      </c>
      <c r="K2117" s="1">
        <v>0</v>
      </c>
      <c r="L2117" s="2">
        <v>0</v>
      </c>
      <c r="M2117" s="1">
        <v>0</v>
      </c>
      <c r="N2117" s="1">
        <v>0</v>
      </c>
      <c r="O2117" s="1">
        <f t="shared" ref="O2117" si="1189">N2117*7750</f>
        <v>0</v>
      </c>
      <c r="P2117" s="1">
        <v>0</v>
      </c>
      <c r="Q2117" s="1">
        <f t="shared" ref="Q2117" si="1190">P2117*1400</f>
        <v>0</v>
      </c>
      <c r="R2117" s="1">
        <v>731</v>
      </c>
      <c r="S2117" s="1">
        <f t="shared" ref="S2117" si="1191">R2117*3751</f>
        <v>2741981</v>
      </c>
      <c r="T2117" s="1">
        <v>0</v>
      </c>
      <c r="U2117" s="1">
        <v>50000</v>
      </c>
      <c r="V2117" s="1">
        <v>0</v>
      </c>
      <c r="W2117" s="1">
        <v>0</v>
      </c>
      <c r="X2117" s="1">
        <v>0</v>
      </c>
      <c r="Y2117" s="1">
        <v>0</v>
      </c>
      <c r="Z2117" s="1">
        <v>0</v>
      </c>
      <c r="AA2117" s="1">
        <v>0</v>
      </c>
      <c r="AB2117" s="1">
        <v>0</v>
      </c>
      <c r="AC2117" s="1">
        <v>0</v>
      </c>
      <c r="AD2117" s="1">
        <v>0</v>
      </c>
    </row>
    <row r="2118" spans="1:30" s="20" customFormat="1" ht="36" customHeight="1" x14ac:dyDescent="0.25">
      <c r="A2118" s="2">
        <f t="shared" si="1185"/>
        <v>2046</v>
      </c>
      <c r="B2118" s="3">
        <f t="shared" si="1116"/>
        <v>2046</v>
      </c>
      <c r="C2118" s="19" t="s">
        <v>1267</v>
      </c>
      <c r="D2118" s="4">
        <f t="shared" si="1183"/>
        <v>9490262.5999999996</v>
      </c>
      <c r="E2118" s="1">
        <f t="shared" si="1184"/>
        <v>2434668.5999999996</v>
      </c>
      <c r="F2118" s="1">
        <f>804*725.9</f>
        <v>583623.6</v>
      </c>
      <c r="G2118" s="1">
        <f>1693*725.9</f>
        <v>1228948.7</v>
      </c>
      <c r="H2118" s="1">
        <f>390*725.9</f>
        <v>283101</v>
      </c>
      <c r="I2118" s="1">
        <v>0</v>
      </c>
      <c r="J2118" s="1">
        <f>467*725.9</f>
        <v>338995.3</v>
      </c>
      <c r="K2118" s="1">
        <v>0</v>
      </c>
      <c r="L2118" s="2">
        <v>0</v>
      </c>
      <c r="M2118" s="1">
        <v>0</v>
      </c>
      <c r="N2118" s="1">
        <v>731</v>
      </c>
      <c r="O2118" s="1">
        <f t="shared" si="1186"/>
        <v>5665250</v>
      </c>
      <c r="P2118" s="1">
        <v>0</v>
      </c>
      <c r="Q2118" s="1">
        <f t="shared" si="1171"/>
        <v>0</v>
      </c>
      <c r="R2118" s="1">
        <v>344</v>
      </c>
      <c r="S2118" s="1">
        <f t="shared" si="1172"/>
        <v>1290344</v>
      </c>
      <c r="T2118" s="1">
        <v>0</v>
      </c>
      <c r="U2118" s="1">
        <v>50000</v>
      </c>
      <c r="V2118" s="1">
        <v>0</v>
      </c>
      <c r="W2118" s="1">
        <v>50000</v>
      </c>
      <c r="X2118" s="1">
        <v>0</v>
      </c>
      <c r="Y2118" s="1">
        <v>0</v>
      </c>
      <c r="Z2118" s="1">
        <v>0</v>
      </c>
      <c r="AA2118" s="1">
        <v>0</v>
      </c>
      <c r="AB2118" s="1">
        <v>0</v>
      </c>
      <c r="AC2118" s="1">
        <v>0</v>
      </c>
      <c r="AD2118" s="1">
        <v>0</v>
      </c>
    </row>
    <row r="2119" spans="1:30" s="20" customFormat="1" ht="36" customHeight="1" x14ac:dyDescent="0.25">
      <c r="A2119" s="2">
        <f t="shared" si="1185"/>
        <v>2047</v>
      </c>
      <c r="B2119" s="3">
        <f t="shared" si="1116"/>
        <v>2047</v>
      </c>
      <c r="C2119" s="19" t="s">
        <v>1268</v>
      </c>
      <c r="D2119" s="4">
        <f t="shared" si="1183"/>
        <v>6941710.8000000007</v>
      </c>
      <c r="E2119" s="1">
        <f t="shared" si="1184"/>
        <v>1763197.8000000003</v>
      </c>
      <c r="F2119" s="1">
        <f>804*525.7</f>
        <v>422662.80000000005</v>
      </c>
      <c r="G2119" s="1">
        <f>1693*525.7</f>
        <v>890010.10000000009</v>
      </c>
      <c r="H2119" s="1">
        <f>390*525.7</f>
        <v>205023.00000000003</v>
      </c>
      <c r="I2119" s="1">
        <v>0</v>
      </c>
      <c r="J2119" s="1">
        <f>467*525.7</f>
        <v>245501.90000000002</v>
      </c>
      <c r="K2119" s="1">
        <v>0</v>
      </c>
      <c r="L2119" s="2">
        <v>0</v>
      </c>
      <c r="M2119" s="1">
        <v>0</v>
      </c>
      <c r="N2119" s="1">
        <v>528</v>
      </c>
      <c r="O2119" s="1">
        <f t="shared" si="1186"/>
        <v>4092000</v>
      </c>
      <c r="P2119" s="1">
        <v>0</v>
      </c>
      <c r="Q2119" s="1">
        <f t="shared" si="1171"/>
        <v>0</v>
      </c>
      <c r="R2119" s="1">
        <v>263</v>
      </c>
      <c r="S2119" s="1">
        <f t="shared" si="1172"/>
        <v>986513</v>
      </c>
      <c r="T2119" s="1">
        <v>0</v>
      </c>
      <c r="U2119" s="1">
        <v>50000</v>
      </c>
      <c r="V2119" s="1">
        <v>0</v>
      </c>
      <c r="W2119" s="1">
        <v>50000</v>
      </c>
      <c r="X2119" s="1">
        <v>0</v>
      </c>
      <c r="Y2119" s="1">
        <v>0</v>
      </c>
      <c r="Z2119" s="1">
        <v>0</v>
      </c>
      <c r="AA2119" s="1">
        <v>0</v>
      </c>
      <c r="AB2119" s="1">
        <v>0</v>
      </c>
      <c r="AC2119" s="1">
        <v>0</v>
      </c>
      <c r="AD2119" s="1">
        <v>0</v>
      </c>
    </row>
    <row r="2120" spans="1:30" s="20" customFormat="1" ht="36" customHeight="1" x14ac:dyDescent="0.25">
      <c r="A2120" s="2">
        <f t="shared" si="1185"/>
        <v>2048</v>
      </c>
      <c r="B2120" s="3">
        <f t="shared" si="1116"/>
        <v>2048</v>
      </c>
      <c r="C2120" s="19" t="s">
        <v>1269</v>
      </c>
      <c r="D2120" s="4">
        <f t="shared" si="1183"/>
        <v>3152185.4</v>
      </c>
      <c r="E2120" s="1">
        <f t="shared" si="1184"/>
        <v>188216.4</v>
      </c>
      <c r="F2120" s="1">
        <f>804*234.1</f>
        <v>188216.4</v>
      </c>
      <c r="G2120" s="1">
        <v>0</v>
      </c>
      <c r="H2120" s="1">
        <v>0</v>
      </c>
      <c r="I2120" s="1">
        <v>0</v>
      </c>
      <c r="J2120" s="1">
        <v>0</v>
      </c>
      <c r="K2120" s="1">
        <v>0</v>
      </c>
      <c r="L2120" s="2">
        <v>0</v>
      </c>
      <c r="M2120" s="1">
        <v>0</v>
      </c>
      <c r="N2120" s="1">
        <v>270</v>
      </c>
      <c r="O2120" s="1">
        <f t="shared" si="1186"/>
        <v>2092500</v>
      </c>
      <c r="P2120" s="1">
        <v>0</v>
      </c>
      <c r="Q2120" s="1">
        <f t="shared" si="1171"/>
        <v>0</v>
      </c>
      <c r="R2120" s="1">
        <v>219</v>
      </c>
      <c r="S2120" s="1">
        <f t="shared" si="1172"/>
        <v>821469</v>
      </c>
      <c r="T2120" s="1"/>
      <c r="U2120" s="1"/>
      <c r="V2120" s="1">
        <v>0</v>
      </c>
      <c r="W2120" s="1">
        <v>50000</v>
      </c>
      <c r="X2120" s="1">
        <v>0</v>
      </c>
      <c r="Y2120" s="1">
        <v>0</v>
      </c>
      <c r="Z2120" s="1">
        <v>0</v>
      </c>
      <c r="AA2120" s="1">
        <v>0</v>
      </c>
      <c r="AB2120" s="1">
        <v>0</v>
      </c>
      <c r="AC2120" s="1">
        <v>0</v>
      </c>
      <c r="AD2120" s="1">
        <v>0</v>
      </c>
    </row>
    <row r="2121" spans="1:30" s="20" customFormat="1" ht="36" customHeight="1" x14ac:dyDescent="0.25">
      <c r="A2121" s="2">
        <f t="shared" si="1185"/>
        <v>2049</v>
      </c>
      <c r="B2121" s="3">
        <f t="shared" si="1116"/>
        <v>2049</v>
      </c>
      <c r="C2121" s="19" t="s">
        <v>1270</v>
      </c>
      <c r="D2121" s="4">
        <f t="shared" si="1183"/>
        <v>6803420.2000000002</v>
      </c>
      <c r="E2121" s="1">
        <f t="shared" si="1184"/>
        <v>1714900.2000000002</v>
      </c>
      <c r="F2121" s="1">
        <f>804*511.3</f>
        <v>411085.2</v>
      </c>
      <c r="G2121" s="1">
        <f>1693*511.3</f>
        <v>865630.9</v>
      </c>
      <c r="H2121" s="1">
        <f>390*511.3</f>
        <v>199407</v>
      </c>
      <c r="I2121" s="1">
        <v>0</v>
      </c>
      <c r="J2121" s="1">
        <f>467*511.3</f>
        <v>238777.1</v>
      </c>
      <c r="K2121" s="1">
        <v>0</v>
      </c>
      <c r="L2121" s="2">
        <v>0</v>
      </c>
      <c r="M2121" s="1">
        <v>0</v>
      </c>
      <c r="N2121" s="1">
        <v>513</v>
      </c>
      <c r="O2121" s="1">
        <f t="shared" si="1186"/>
        <v>3975750</v>
      </c>
      <c r="P2121" s="1">
        <v>0</v>
      </c>
      <c r="Q2121" s="1">
        <f t="shared" si="1171"/>
        <v>0</v>
      </c>
      <c r="R2121" s="1">
        <v>270</v>
      </c>
      <c r="S2121" s="1">
        <f t="shared" si="1172"/>
        <v>1012770</v>
      </c>
      <c r="T2121" s="1">
        <v>0</v>
      </c>
      <c r="U2121" s="1">
        <v>50000</v>
      </c>
      <c r="V2121" s="1">
        <v>0</v>
      </c>
      <c r="W2121" s="1">
        <v>50000</v>
      </c>
      <c r="X2121" s="1">
        <v>0</v>
      </c>
      <c r="Y2121" s="1">
        <v>0</v>
      </c>
      <c r="Z2121" s="1">
        <v>0</v>
      </c>
      <c r="AA2121" s="1">
        <v>0</v>
      </c>
      <c r="AB2121" s="1">
        <v>0</v>
      </c>
      <c r="AC2121" s="1">
        <v>0</v>
      </c>
      <c r="AD2121" s="1">
        <v>0</v>
      </c>
    </row>
    <row r="2122" spans="1:30" s="20" customFormat="1" ht="36" customHeight="1" x14ac:dyDescent="0.25">
      <c r="A2122" s="2">
        <f t="shared" si="1185"/>
        <v>2050</v>
      </c>
      <c r="B2122" s="3">
        <f t="shared" si="1116"/>
        <v>2050</v>
      </c>
      <c r="C2122" s="19" t="s">
        <v>1271</v>
      </c>
      <c r="D2122" s="4">
        <f t="shared" si="1183"/>
        <v>4117085.8</v>
      </c>
      <c r="E2122" s="1">
        <f t="shared" si="1184"/>
        <v>897865.79999999993</v>
      </c>
      <c r="F2122" s="1">
        <f>804*267.7</f>
        <v>215230.8</v>
      </c>
      <c r="G2122" s="1">
        <f>1693*267.7</f>
        <v>453216.1</v>
      </c>
      <c r="H2122" s="1">
        <f>390*267.7</f>
        <v>104403</v>
      </c>
      <c r="I2122" s="1">
        <v>0</v>
      </c>
      <c r="J2122" s="1">
        <f>467*267.7</f>
        <v>125015.9</v>
      </c>
      <c r="K2122" s="1">
        <v>0</v>
      </c>
      <c r="L2122" s="2">
        <v>0</v>
      </c>
      <c r="M2122" s="1">
        <v>0</v>
      </c>
      <c r="N2122" s="1">
        <v>296</v>
      </c>
      <c r="O2122" s="1">
        <f t="shared" si="1186"/>
        <v>2294000</v>
      </c>
      <c r="P2122" s="1">
        <v>0</v>
      </c>
      <c r="Q2122" s="1">
        <f t="shared" si="1171"/>
        <v>0</v>
      </c>
      <c r="R2122" s="1">
        <v>220</v>
      </c>
      <c r="S2122" s="1">
        <f t="shared" si="1172"/>
        <v>825220</v>
      </c>
      <c r="T2122" s="1">
        <v>0</v>
      </c>
      <c r="U2122" s="1">
        <v>50000</v>
      </c>
      <c r="V2122" s="1">
        <v>0</v>
      </c>
      <c r="W2122" s="1">
        <v>50000</v>
      </c>
      <c r="X2122" s="1">
        <v>0</v>
      </c>
      <c r="Y2122" s="1">
        <v>0</v>
      </c>
      <c r="Z2122" s="1">
        <v>0</v>
      </c>
      <c r="AA2122" s="1">
        <v>0</v>
      </c>
      <c r="AB2122" s="1">
        <v>0</v>
      </c>
      <c r="AC2122" s="1">
        <v>0</v>
      </c>
      <c r="AD2122" s="1">
        <v>0</v>
      </c>
    </row>
    <row r="2123" spans="1:30" s="20" customFormat="1" ht="36" customHeight="1" x14ac:dyDescent="0.25">
      <c r="A2123" s="2">
        <f t="shared" si="1185"/>
        <v>2051</v>
      </c>
      <c r="B2123" s="3">
        <f t="shared" si="1116"/>
        <v>2051</v>
      </c>
      <c r="C2123" s="19" t="s">
        <v>1272</v>
      </c>
      <c r="D2123" s="4">
        <f t="shared" si="1183"/>
        <v>7064861</v>
      </c>
      <c r="E2123" s="1">
        <f t="shared" si="1184"/>
        <v>1801098</v>
      </c>
      <c r="F2123" s="1">
        <f>804*537</f>
        <v>431748</v>
      </c>
      <c r="G2123" s="1">
        <f>1693*537</f>
        <v>909141</v>
      </c>
      <c r="H2123" s="1">
        <f>390*537</f>
        <v>209430</v>
      </c>
      <c r="I2123" s="1">
        <v>0</v>
      </c>
      <c r="J2123" s="1">
        <f>467*537</f>
        <v>250779</v>
      </c>
      <c r="K2123" s="1">
        <v>0</v>
      </c>
      <c r="L2123" s="2">
        <v>0</v>
      </c>
      <c r="M2123" s="1">
        <v>0</v>
      </c>
      <c r="N2123" s="1">
        <v>539</v>
      </c>
      <c r="O2123" s="1">
        <f t="shared" si="1186"/>
        <v>4177250</v>
      </c>
      <c r="P2123" s="1">
        <v>0</v>
      </c>
      <c r="Q2123" s="1">
        <f t="shared" si="1171"/>
        <v>0</v>
      </c>
      <c r="R2123" s="1">
        <v>263</v>
      </c>
      <c r="S2123" s="1">
        <f t="shared" si="1172"/>
        <v>986513</v>
      </c>
      <c r="T2123" s="1">
        <v>0</v>
      </c>
      <c r="U2123" s="1">
        <v>50000</v>
      </c>
      <c r="V2123" s="1">
        <v>0</v>
      </c>
      <c r="W2123" s="1">
        <v>50000</v>
      </c>
      <c r="X2123" s="1">
        <v>0</v>
      </c>
      <c r="Y2123" s="1">
        <v>0</v>
      </c>
      <c r="Z2123" s="1">
        <v>0</v>
      </c>
      <c r="AA2123" s="1">
        <v>0</v>
      </c>
      <c r="AB2123" s="1">
        <v>0</v>
      </c>
      <c r="AC2123" s="1">
        <v>0</v>
      </c>
      <c r="AD2123" s="1">
        <v>0</v>
      </c>
    </row>
    <row r="2124" spans="1:30" s="20" customFormat="1" ht="36" customHeight="1" x14ac:dyDescent="0.25">
      <c r="A2124" s="2">
        <f t="shared" si="1185"/>
        <v>2052</v>
      </c>
      <c r="B2124" s="3">
        <f t="shared" si="1116"/>
        <v>2052</v>
      </c>
      <c r="C2124" s="19" t="s">
        <v>1273</v>
      </c>
      <c r="D2124" s="4">
        <f t="shared" si="1183"/>
        <v>1861827.7999999998</v>
      </c>
      <c r="E2124" s="1">
        <f t="shared" si="1184"/>
        <v>824077.79999999993</v>
      </c>
      <c r="F2124" s="1">
        <f>804*245.7</f>
        <v>197542.8</v>
      </c>
      <c r="G2124" s="1">
        <f>1693*245.7</f>
        <v>415970.1</v>
      </c>
      <c r="H2124" s="1">
        <f>390*245.7</f>
        <v>95823</v>
      </c>
      <c r="I2124" s="1">
        <v>0</v>
      </c>
      <c r="J2124" s="1">
        <f>467*245.7</f>
        <v>114741.9</v>
      </c>
      <c r="K2124" s="1">
        <v>0</v>
      </c>
      <c r="L2124" s="2">
        <v>0</v>
      </c>
      <c r="M2124" s="1">
        <v>0</v>
      </c>
      <c r="N2124" s="1">
        <v>0</v>
      </c>
      <c r="O2124" s="1">
        <v>0</v>
      </c>
      <c r="P2124" s="1">
        <v>0</v>
      </c>
      <c r="Q2124" s="1">
        <f t="shared" si="1171"/>
        <v>0</v>
      </c>
      <c r="R2124" s="1">
        <v>250</v>
      </c>
      <c r="S2124" s="1">
        <f>R2124*3751</f>
        <v>937750</v>
      </c>
      <c r="T2124" s="1">
        <v>0</v>
      </c>
      <c r="U2124" s="1">
        <v>50000</v>
      </c>
      <c r="V2124" s="1">
        <v>0</v>
      </c>
      <c r="W2124" s="1">
        <v>50000</v>
      </c>
      <c r="X2124" s="1">
        <v>0</v>
      </c>
      <c r="Y2124" s="1">
        <v>0</v>
      </c>
      <c r="Z2124" s="1">
        <v>0</v>
      </c>
      <c r="AA2124" s="1">
        <v>0</v>
      </c>
      <c r="AB2124" s="1">
        <v>0</v>
      </c>
      <c r="AC2124" s="1">
        <v>0</v>
      </c>
      <c r="AD2124" s="1">
        <v>0</v>
      </c>
    </row>
    <row r="2125" spans="1:30" s="20" customFormat="1" ht="36" customHeight="1" x14ac:dyDescent="0.25">
      <c r="A2125" s="2">
        <f t="shared" si="1185"/>
        <v>2053</v>
      </c>
      <c r="B2125" s="3">
        <f t="shared" si="1116"/>
        <v>2053</v>
      </c>
      <c r="C2125" s="19" t="s">
        <v>1274</v>
      </c>
      <c r="D2125" s="4">
        <f t="shared" si="1183"/>
        <v>6807805.1999999993</v>
      </c>
      <c r="E2125" s="1">
        <f t="shared" si="1184"/>
        <v>1740055.1999999997</v>
      </c>
      <c r="F2125" s="1">
        <f>804*518.8</f>
        <v>417115.19999999995</v>
      </c>
      <c r="G2125" s="1">
        <f>1693*518.8</f>
        <v>878328.39999999991</v>
      </c>
      <c r="H2125" s="1">
        <f>390*518.8</f>
        <v>202331.99999999997</v>
      </c>
      <c r="I2125" s="1">
        <v>0</v>
      </c>
      <c r="J2125" s="1">
        <f>467*518.8</f>
        <v>242279.59999999998</v>
      </c>
      <c r="K2125" s="1">
        <v>0</v>
      </c>
      <c r="L2125" s="2">
        <v>0</v>
      </c>
      <c r="M2125" s="1">
        <v>0</v>
      </c>
      <c r="N2125" s="1">
        <v>520</v>
      </c>
      <c r="O2125" s="1">
        <f>N2125*7750</f>
        <v>4030000</v>
      </c>
      <c r="P2125" s="1">
        <v>0</v>
      </c>
      <c r="Q2125" s="1">
        <f t="shared" si="1171"/>
        <v>0</v>
      </c>
      <c r="R2125" s="1">
        <v>250</v>
      </c>
      <c r="S2125" s="1">
        <f t="shared" si="1172"/>
        <v>937750</v>
      </c>
      <c r="T2125" s="1">
        <v>0</v>
      </c>
      <c r="U2125" s="1">
        <v>50000</v>
      </c>
      <c r="V2125" s="1">
        <v>0</v>
      </c>
      <c r="W2125" s="1">
        <v>50000</v>
      </c>
      <c r="X2125" s="1">
        <v>0</v>
      </c>
      <c r="Y2125" s="1">
        <v>0</v>
      </c>
      <c r="Z2125" s="1">
        <v>0</v>
      </c>
      <c r="AA2125" s="1">
        <v>0</v>
      </c>
      <c r="AB2125" s="1">
        <v>0</v>
      </c>
      <c r="AC2125" s="1">
        <v>0</v>
      </c>
      <c r="AD2125" s="1">
        <v>0</v>
      </c>
    </row>
    <row r="2126" spans="1:30" s="20" customFormat="1" ht="36" customHeight="1" x14ac:dyDescent="0.25">
      <c r="A2126" s="2">
        <f t="shared" si="1185"/>
        <v>2054</v>
      </c>
      <c r="B2126" s="2">
        <f t="shared" si="1116"/>
        <v>2054</v>
      </c>
      <c r="C2126" s="19" t="s">
        <v>1275</v>
      </c>
      <c r="D2126" s="39">
        <f t="shared" si="1183"/>
        <v>5010512.1999999993</v>
      </c>
      <c r="E2126" s="1">
        <f t="shared" si="1184"/>
        <v>2815012.1999999997</v>
      </c>
      <c r="F2126" s="1">
        <f>804*839.3</f>
        <v>674797.2</v>
      </c>
      <c r="G2126" s="1">
        <f>1693*839.3</f>
        <v>1420934.9</v>
      </c>
      <c r="H2126" s="1">
        <f>390*839.3</f>
        <v>327327</v>
      </c>
      <c r="I2126" s="1">
        <v>0</v>
      </c>
      <c r="J2126" s="1">
        <f>467*839.3</f>
        <v>391953.1</v>
      </c>
      <c r="K2126" s="1">
        <v>0</v>
      </c>
      <c r="L2126" s="2">
        <v>0</v>
      </c>
      <c r="M2126" s="1">
        <v>0</v>
      </c>
      <c r="N2126" s="1">
        <v>0</v>
      </c>
      <c r="O2126" s="1">
        <v>0</v>
      </c>
      <c r="P2126" s="1">
        <v>50</v>
      </c>
      <c r="Q2126" s="1">
        <f t="shared" si="1171"/>
        <v>70000</v>
      </c>
      <c r="R2126" s="1">
        <v>500</v>
      </c>
      <c r="S2126" s="1">
        <f t="shared" si="1172"/>
        <v>1875500</v>
      </c>
      <c r="T2126" s="1">
        <v>150000</v>
      </c>
      <c r="U2126" s="1">
        <v>50000</v>
      </c>
      <c r="V2126" s="1">
        <v>0</v>
      </c>
      <c r="W2126" s="1">
        <v>50000</v>
      </c>
      <c r="X2126" s="1">
        <v>0</v>
      </c>
      <c r="Y2126" s="1">
        <v>0</v>
      </c>
      <c r="Z2126" s="1">
        <v>0</v>
      </c>
      <c r="AA2126" s="1">
        <v>0</v>
      </c>
      <c r="AB2126" s="1">
        <v>0</v>
      </c>
      <c r="AC2126" s="1">
        <v>0</v>
      </c>
      <c r="AD2126" s="1">
        <v>0</v>
      </c>
    </row>
    <row r="2127" spans="1:30" s="20" customFormat="1" ht="36" customHeight="1" x14ac:dyDescent="0.25">
      <c r="A2127" s="2">
        <f t="shared" si="1185"/>
        <v>2055</v>
      </c>
      <c r="B2127" s="2">
        <f t="shared" si="1116"/>
        <v>2055</v>
      </c>
      <c r="C2127" s="19" t="s">
        <v>1276</v>
      </c>
      <c r="D2127" s="39">
        <f t="shared" si="1183"/>
        <v>7071800</v>
      </c>
      <c r="E2127" s="1">
        <f t="shared" si="1184"/>
        <v>0</v>
      </c>
      <c r="F2127" s="1">
        <v>0</v>
      </c>
      <c r="G2127" s="1">
        <v>0</v>
      </c>
      <c r="H2127" s="1">
        <v>0</v>
      </c>
      <c r="I2127" s="1">
        <v>0</v>
      </c>
      <c r="J2127" s="1">
        <v>0</v>
      </c>
      <c r="K2127" s="1">
        <v>0</v>
      </c>
      <c r="L2127" s="2">
        <v>0</v>
      </c>
      <c r="M2127" s="1">
        <v>0</v>
      </c>
      <c r="N2127" s="1">
        <v>0</v>
      </c>
      <c r="O2127" s="1">
        <v>0</v>
      </c>
      <c r="P2127" s="1">
        <v>50</v>
      </c>
      <c r="Q2127" s="1">
        <f t="shared" si="1171"/>
        <v>70000</v>
      </c>
      <c r="R2127" s="1">
        <v>1800</v>
      </c>
      <c r="S2127" s="1">
        <f t="shared" si="1172"/>
        <v>6751800</v>
      </c>
      <c r="T2127" s="1">
        <v>150000</v>
      </c>
      <c r="U2127" s="1">
        <v>50000</v>
      </c>
      <c r="V2127" s="1">
        <v>0</v>
      </c>
      <c r="W2127" s="1">
        <v>50000</v>
      </c>
      <c r="X2127" s="1">
        <v>0</v>
      </c>
      <c r="Y2127" s="1">
        <v>0</v>
      </c>
      <c r="Z2127" s="1">
        <v>0</v>
      </c>
      <c r="AA2127" s="1">
        <v>0</v>
      </c>
      <c r="AB2127" s="1">
        <v>0</v>
      </c>
      <c r="AC2127" s="1">
        <v>0</v>
      </c>
      <c r="AD2127" s="1">
        <v>0</v>
      </c>
    </row>
    <row r="2128" spans="1:30" s="20" customFormat="1" ht="36" customHeight="1" x14ac:dyDescent="0.25">
      <c r="A2128" s="2">
        <f t="shared" si="1185"/>
        <v>2056</v>
      </c>
      <c r="B2128" s="3">
        <f t="shared" si="1116"/>
        <v>2056</v>
      </c>
      <c r="C2128" s="19" t="s">
        <v>1277</v>
      </c>
      <c r="D2128" s="4">
        <f t="shared" si="1183"/>
        <v>7071800</v>
      </c>
      <c r="E2128" s="1">
        <f t="shared" si="1184"/>
        <v>0</v>
      </c>
      <c r="F2128" s="1">
        <v>0</v>
      </c>
      <c r="G2128" s="1">
        <v>0</v>
      </c>
      <c r="H2128" s="1">
        <v>0</v>
      </c>
      <c r="I2128" s="1">
        <v>0</v>
      </c>
      <c r="J2128" s="1">
        <v>0</v>
      </c>
      <c r="K2128" s="1">
        <v>0</v>
      </c>
      <c r="L2128" s="2">
        <v>0</v>
      </c>
      <c r="M2128" s="1">
        <v>0</v>
      </c>
      <c r="N2128" s="1">
        <v>0</v>
      </c>
      <c r="O2128" s="1">
        <v>0</v>
      </c>
      <c r="P2128" s="1">
        <v>50</v>
      </c>
      <c r="Q2128" s="1">
        <f t="shared" si="1171"/>
        <v>70000</v>
      </c>
      <c r="R2128" s="1">
        <v>1800</v>
      </c>
      <c r="S2128" s="1">
        <f t="shared" si="1172"/>
        <v>6751800</v>
      </c>
      <c r="T2128" s="1">
        <v>150000</v>
      </c>
      <c r="U2128" s="1">
        <v>50000</v>
      </c>
      <c r="V2128" s="1">
        <v>0</v>
      </c>
      <c r="W2128" s="1">
        <v>50000</v>
      </c>
      <c r="X2128" s="1">
        <v>0</v>
      </c>
      <c r="Y2128" s="1">
        <v>0</v>
      </c>
      <c r="Z2128" s="1">
        <v>0</v>
      </c>
      <c r="AA2128" s="1">
        <v>0</v>
      </c>
      <c r="AB2128" s="1">
        <v>0</v>
      </c>
      <c r="AC2128" s="1">
        <v>0</v>
      </c>
      <c r="AD2128" s="1">
        <v>0</v>
      </c>
    </row>
    <row r="2129" spans="1:30" s="20" customFormat="1" ht="54.95" customHeight="1" x14ac:dyDescent="0.25">
      <c r="A2129" s="3"/>
      <c r="B2129" s="47" t="s">
        <v>1973</v>
      </c>
      <c r="C2129" s="48"/>
      <c r="D2129" s="4">
        <f>SUM(D2130:D2145)</f>
        <v>86911381.799999997</v>
      </c>
      <c r="E2129" s="4">
        <f t="shared" ref="E2129:AD2129" si="1192">SUM(E2130:E2145)</f>
        <v>17563975.800000001</v>
      </c>
      <c r="F2129" s="4">
        <f t="shared" si="1192"/>
        <v>3951820.7999999998</v>
      </c>
      <c r="G2129" s="4">
        <f t="shared" si="1192"/>
        <v>9037403.2999999989</v>
      </c>
      <c r="H2129" s="4">
        <f t="shared" si="1192"/>
        <v>2081859</v>
      </c>
      <c r="I2129" s="4">
        <f t="shared" si="1192"/>
        <v>0</v>
      </c>
      <c r="J2129" s="4">
        <f t="shared" si="1192"/>
        <v>2492892.6999999997</v>
      </c>
      <c r="K2129" s="4">
        <f t="shared" si="1192"/>
        <v>0</v>
      </c>
      <c r="L2129" s="17">
        <f t="shared" si="1192"/>
        <v>0</v>
      </c>
      <c r="M2129" s="4">
        <f t="shared" si="1192"/>
        <v>0</v>
      </c>
      <c r="N2129" s="4">
        <f t="shared" si="1192"/>
        <v>6389</v>
      </c>
      <c r="O2129" s="4">
        <f t="shared" si="1192"/>
        <v>47812166</v>
      </c>
      <c r="P2129" s="4">
        <f t="shared" si="1192"/>
        <v>450</v>
      </c>
      <c r="Q2129" s="4">
        <f t="shared" si="1192"/>
        <v>630000</v>
      </c>
      <c r="R2129" s="4">
        <f t="shared" si="1192"/>
        <v>5240</v>
      </c>
      <c r="S2129" s="4">
        <f t="shared" si="1192"/>
        <v>19655240</v>
      </c>
      <c r="T2129" s="4">
        <f t="shared" si="1192"/>
        <v>0</v>
      </c>
      <c r="U2129" s="4">
        <f t="shared" si="1192"/>
        <v>550000</v>
      </c>
      <c r="V2129" s="4">
        <f t="shared" si="1192"/>
        <v>0</v>
      </c>
      <c r="W2129" s="4">
        <f t="shared" si="1192"/>
        <v>700000</v>
      </c>
      <c r="X2129" s="4">
        <f t="shared" si="1192"/>
        <v>0</v>
      </c>
      <c r="Y2129" s="4">
        <f t="shared" si="1192"/>
        <v>0</v>
      </c>
      <c r="Z2129" s="4">
        <f t="shared" si="1192"/>
        <v>0</v>
      </c>
      <c r="AA2129" s="4">
        <f t="shared" si="1192"/>
        <v>0</v>
      </c>
      <c r="AB2129" s="4">
        <f t="shared" si="1192"/>
        <v>0</v>
      </c>
      <c r="AC2129" s="4">
        <f t="shared" si="1192"/>
        <v>0</v>
      </c>
      <c r="AD2129" s="4">
        <f t="shared" si="1192"/>
        <v>0</v>
      </c>
    </row>
    <row r="2130" spans="1:30" s="20" customFormat="1" ht="36" customHeight="1" x14ac:dyDescent="0.25">
      <c r="A2130" s="2">
        <f>ROW()-ROW($A$11)-62</f>
        <v>2057</v>
      </c>
      <c r="B2130" s="3">
        <f t="shared" si="1116"/>
        <v>2057</v>
      </c>
      <c r="C2130" s="24" t="s">
        <v>1278</v>
      </c>
      <c r="D2130" s="4">
        <f t="shared" ref="D2130:D2145" si="1193">E2130+M2130+O2130+Q2130+S2130+T2130+U2130+V2130+W2130+X2130+Z2130+AA2130+AB2130+AC2130+AD2130</f>
        <v>5399966.2000000002</v>
      </c>
      <c r="E2130" s="1">
        <f t="shared" ref="E2130:E2145" si="1194">SUM(F2130:K2130)</f>
        <v>1181614.2000000002</v>
      </c>
      <c r="F2130" s="1">
        <f>804*352.3</f>
        <v>283249.2</v>
      </c>
      <c r="G2130" s="1">
        <f>1693*352.3</f>
        <v>596443.9</v>
      </c>
      <c r="H2130" s="1">
        <f>390*352.3</f>
        <v>137397</v>
      </c>
      <c r="I2130" s="1">
        <v>0</v>
      </c>
      <c r="J2130" s="1">
        <f>467*352.3</f>
        <v>164524.1</v>
      </c>
      <c r="K2130" s="1">
        <v>0</v>
      </c>
      <c r="L2130" s="2">
        <v>0</v>
      </c>
      <c r="M2130" s="1">
        <v>0</v>
      </c>
      <c r="N2130" s="1">
        <v>352</v>
      </c>
      <c r="O2130" s="1">
        <f>N2130*7750</f>
        <v>2728000</v>
      </c>
      <c r="P2130" s="1">
        <v>50</v>
      </c>
      <c r="Q2130" s="1">
        <f t="shared" si="1171"/>
        <v>70000</v>
      </c>
      <c r="R2130" s="1">
        <v>352</v>
      </c>
      <c r="S2130" s="1">
        <f t="shared" si="1172"/>
        <v>1320352</v>
      </c>
      <c r="T2130" s="1">
        <v>0</v>
      </c>
      <c r="U2130" s="1">
        <v>50000</v>
      </c>
      <c r="V2130" s="1">
        <v>0</v>
      </c>
      <c r="W2130" s="1">
        <v>50000</v>
      </c>
      <c r="X2130" s="1">
        <v>0</v>
      </c>
      <c r="Y2130" s="1">
        <v>0</v>
      </c>
      <c r="Z2130" s="1">
        <v>0</v>
      </c>
      <c r="AA2130" s="1">
        <v>0</v>
      </c>
      <c r="AB2130" s="1">
        <v>0</v>
      </c>
      <c r="AC2130" s="1">
        <v>0</v>
      </c>
      <c r="AD2130" s="1">
        <v>0</v>
      </c>
    </row>
    <row r="2131" spans="1:30" s="20" customFormat="1" ht="36" customHeight="1" x14ac:dyDescent="0.25">
      <c r="A2131" s="2">
        <f t="shared" ref="A2131:A2145" si="1195">ROW()-ROW($A$11)-62</f>
        <v>2058</v>
      </c>
      <c r="B2131" s="3">
        <f t="shared" si="1116"/>
        <v>2058</v>
      </c>
      <c r="C2131" s="24" t="s">
        <v>1279</v>
      </c>
      <c r="D2131" s="4">
        <f t="shared" si="1193"/>
        <v>2353582.7999999998</v>
      </c>
      <c r="E2131" s="1">
        <f t="shared" si="1194"/>
        <v>1032025.7999999999</v>
      </c>
      <c r="F2131" s="1">
        <f>804*307.7</f>
        <v>247390.8</v>
      </c>
      <c r="G2131" s="1">
        <f>1693*307.7</f>
        <v>520936.1</v>
      </c>
      <c r="H2131" s="1">
        <f>390*307.7</f>
        <v>120003</v>
      </c>
      <c r="I2131" s="1">
        <v>0</v>
      </c>
      <c r="J2131" s="1">
        <f>467*307.7</f>
        <v>143695.9</v>
      </c>
      <c r="K2131" s="1">
        <v>0</v>
      </c>
      <c r="L2131" s="2">
        <v>0</v>
      </c>
      <c r="M2131" s="1">
        <v>0</v>
      </c>
      <c r="N2131" s="1">
        <v>0</v>
      </c>
      <c r="O2131" s="1">
        <v>0</v>
      </c>
      <c r="P2131" s="1">
        <v>50</v>
      </c>
      <c r="Q2131" s="1">
        <f t="shared" si="1171"/>
        <v>70000</v>
      </c>
      <c r="R2131" s="1">
        <v>307</v>
      </c>
      <c r="S2131" s="1">
        <f t="shared" si="1172"/>
        <v>1151557</v>
      </c>
      <c r="T2131" s="1">
        <v>0</v>
      </c>
      <c r="U2131" s="1">
        <v>50000</v>
      </c>
      <c r="V2131" s="1">
        <v>0</v>
      </c>
      <c r="W2131" s="1">
        <v>50000</v>
      </c>
      <c r="X2131" s="1">
        <v>0</v>
      </c>
      <c r="Y2131" s="1">
        <v>0</v>
      </c>
      <c r="Z2131" s="1">
        <v>0</v>
      </c>
      <c r="AA2131" s="1">
        <v>0</v>
      </c>
      <c r="AB2131" s="1">
        <v>0</v>
      </c>
      <c r="AC2131" s="1">
        <v>0</v>
      </c>
      <c r="AD2131" s="1">
        <v>0</v>
      </c>
    </row>
    <row r="2132" spans="1:30" s="20" customFormat="1" ht="36" customHeight="1" x14ac:dyDescent="0.25">
      <c r="A2132" s="2">
        <f t="shared" si="1195"/>
        <v>2059</v>
      </c>
      <c r="B2132" s="3">
        <f t="shared" si="1116"/>
        <v>2059</v>
      </c>
      <c r="C2132" s="24" t="s">
        <v>1280</v>
      </c>
      <c r="D2132" s="4">
        <f t="shared" si="1193"/>
        <v>4702452</v>
      </c>
      <c r="E2132" s="1">
        <f t="shared" si="1194"/>
        <v>1024647</v>
      </c>
      <c r="F2132" s="1">
        <f>804*305.5</f>
        <v>245622</v>
      </c>
      <c r="G2132" s="1">
        <f>1693*305.5</f>
        <v>517211.5</v>
      </c>
      <c r="H2132" s="1">
        <f>390*305.5</f>
        <v>119145</v>
      </c>
      <c r="I2132" s="1">
        <v>0</v>
      </c>
      <c r="J2132" s="1">
        <f>467*305.5</f>
        <v>142668.5</v>
      </c>
      <c r="K2132" s="1">
        <v>0</v>
      </c>
      <c r="L2132" s="2">
        <v>0</v>
      </c>
      <c r="M2132" s="1">
        <v>0</v>
      </c>
      <c r="N2132" s="1">
        <v>305</v>
      </c>
      <c r="O2132" s="1">
        <f t="shared" ref="O2132:O2140" si="1196">N2132*7750</f>
        <v>2363750</v>
      </c>
      <c r="P2132" s="1">
        <v>50</v>
      </c>
      <c r="Q2132" s="1">
        <f t="shared" si="1171"/>
        <v>70000</v>
      </c>
      <c r="R2132" s="1">
        <v>305</v>
      </c>
      <c r="S2132" s="1">
        <f t="shared" si="1172"/>
        <v>1144055</v>
      </c>
      <c r="T2132" s="1">
        <v>0</v>
      </c>
      <c r="U2132" s="1">
        <v>50000</v>
      </c>
      <c r="V2132" s="1">
        <v>0</v>
      </c>
      <c r="W2132" s="1">
        <v>50000</v>
      </c>
      <c r="X2132" s="1">
        <v>0</v>
      </c>
      <c r="Y2132" s="1">
        <v>0</v>
      </c>
      <c r="Z2132" s="1">
        <v>0</v>
      </c>
      <c r="AA2132" s="1">
        <v>0</v>
      </c>
      <c r="AB2132" s="1">
        <v>0</v>
      </c>
      <c r="AC2132" s="1">
        <v>0</v>
      </c>
      <c r="AD2132" s="1">
        <v>0</v>
      </c>
    </row>
    <row r="2133" spans="1:30" s="20" customFormat="1" ht="36" customHeight="1" x14ac:dyDescent="0.25">
      <c r="A2133" s="2">
        <f t="shared" si="1195"/>
        <v>2060</v>
      </c>
      <c r="B2133" s="3">
        <f>A2133</f>
        <v>2060</v>
      </c>
      <c r="C2133" s="24" t="s">
        <v>1793</v>
      </c>
      <c r="D2133" s="4">
        <f t="shared" si="1193"/>
        <v>6668500</v>
      </c>
      <c r="E2133" s="1">
        <f>SUM(F2133:K2133)</f>
        <v>0</v>
      </c>
      <c r="F2133" s="1">
        <v>0</v>
      </c>
      <c r="G2133" s="1">
        <v>0</v>
      </c>
      <c r="H2133" s="1">
        <v>0</v>
      </c>
      <c r="I2133" s="1">
        <v>0</v>
      </c>
      <c r="J2133" s="1">
        <v>0</v>
      </c>
      <c r="K2133" s="1">
        <v>0</v>
      </c>
      <c r="L2133" s="2">
        <v>0</v>
      </c>
      <c r="M2133" s="1">
        <v>0</v>
      </c>
      <c r="N2133" s="1">
        <v>854</v>
      </c>
      <c r="O2133" s="1">
        <f t="shared" si="1196"/>
        <v>6618500</v>
      </c>
      <c r="P2133" s="1">
        <v>0</v>
      </c>
      <c r="Q2133" s="1">
        <f>P2133*1400</f>
        <v>0</v>
      </c>
      <c r="R2133" s="1">
        <v>0</v>
      </c>
      <c r="S2133" s="1">
        <f>R2133*3751</f>
        <v>0</v>
      </c>
      <c r="T2133" s="1">
        <v>0</v>
      </c>
      <c r="U2133" s="1">
        <v>0</v>
      </c>
      <c r="V2133" s="1">
        <v>0</v>
      </c>
      <c r="W2133" s="1">
        <v>50000</v>
      </c>
      <c r="X2133" s="1">
        <v>0</v>
      </c>
      <c r="Y2133" s="1">
        <v>0</v>
      </c>
      <c r="Z2133" s="1">
        <v>0</v>
      </c>
      <c r="AA2133" s="1">
        <v>0</v>
      </c>
      <c r="AB2133" s="1">
        <v>0</v>
      </c>
      <c r="AC2133" s="1">
        <v>0</v>
      </c>
      <c r="AD2133" s="1">
        <v>0</v>
      </c>
    </row>
    <row r="2134" spans="1:30" s="20" customFormat="1" ht="36" customHeight="1" x14ac:dyDescent="0.25">
      <c r="A2134" s="2">
        <f t="shared" si="1195"/>
        <v>2061</v>
      </c>
      <c r="B2134" s="3">
        <f t="shared" si="1116"/>
        <v>2061</v>
      </c>
      <c r="C2134" s="24" t="s">
        <v>1281</v>
      </c>
      <c r="D2134" s="4">
        <f t="shared" si="1193"/>
        <v>12857847</v>
      </c>
      <c r="E2134" s="1">
        <f t="shared" si="1194"/>
        <v>2865993</v>
      </c>
      <c r="F2134" s="1">
        <f>804*854.5</f>
        <v>687018</v>
      </c>
      <c r="G2134" s="1">
        <f>1693*854.5</f>
        <v>1446668.5</v>
      </c>
      <c r="H2134" s="1">
        <f>390*854.5</f>
        <v>333255</v>
      </c>
      <c r="I2134" s="1">
        <v>0</v>
      </c>
      <c r="J2134" s="1">
        <f>467*854.5</f>
        <v>399051.5</v>
      </c>
      <c r="K2134" s="1">
        <v>0</v>
      </c>
      <c r="L2134" s="2">
        <v>0</v>
      </c>
      <c r="M2134" s="1">
        <v>0</v>
      </c>
      <c r="N2134" s="1">
        <v>854</v>
      </c>
      <c r="O2134" s="1">
        <f t="shared" si="1196"/>
        <v>6618500</v>
      </c>
      <c r="P2134" s="1">
        <v>50</v>
      </c>
      <c r="Q2134" s="1">
        <f t="shared" si="1171"/>
        <v>70000</v>
      </c>
      <c r="R2134" s="1">
        <v>854</v>
      </c>
      <c r="S2134" s="1">
        <f t="shared" si="1172"/>
        <v>3203354</v>
      </c>
      <c r="T2134" s="1">
        <v>0</v>
      </c>
      <c r="U2134" s="1">
        <v>50000</v>
      </c>
      <c r="V2134" s="1">
        <v>0</v>
      </c>
      <c r="W2134" s="1">
        <v>50000</v>
      </c>
      <c r="X2134" s="1">
        <v>0</v>
      </c>
      <c r="Y2134" s="1">
        <v>0</v>
      </c>
      <c r="Z2134" s="1">
        <v>0</v>
      </c>
      <c r="AA2134" s="1">
        <v>0</v>
      </c>
      <c r="AB2134" s="1">
        <v>0</v>
      </c>
      <c r="AC2134" s="1">
        <v>0</v>
      </c>
      <c r="AD2134" s="1">
        <v>0</v>
      </c>
    </row>
    <row r="2135" spans="1:30" s="20" customFormat="1" ht="36" customHeight="1" x14ac:dyDescent="0.25">
      <c r="A2135" s="2">
        <f t="shared" si="1195"/>
        <v>2062</v>
      </c>
      <c r="B2135" s="3">
        <f t="shared" si="1116"/>
        <v>2062</v>
      </c>
      <c r="C2135" s="24" t="s">
        <v>1767</v>
      </c>
      <c r="D2135" s="4">
        <f t="shared" si="1193"/>
        <v>2646250</v>
      </c>
      <c r="E2135" s="1">
        <f t="shared" si="1194"/>
        <v>0</v>
      </c>
      <c r="F2135" s="1">
        <v>0</v>
      </c>
      <c r="G2135" s="1">
        <v>0</v>
      </c>
      <c r="H2135" s="1">
        <v>0</v>
      </c>
      <c r="I2135" s="1">
        <v>0</v>
      </c>
      <c r="J2135" s="1">
        <v>0</v>
      </c>
      <c r="K2135" s="1">
        <v>0</v>
      </c>
      <c r="L2135" s="2">
        <v>0</v>
      </c>
      <c r="M2135" s="1">
        <v>0</v>
      </c>
      <c r="N2135" s="1">
        <v>335</v>
      </c>
      <c r="O2135" s="1">
        <f t="shared" si="1196"/>
        <v>2596250</v>
      </c>
      <c r="P2135" s="1">
        <v>0</v>
      </c>
      <c r="Q2135" s="1">
        <f t="shared" si="1171"/>
        <v>0</v>
      </c>
      <c r="R2135" s="1">
        <v>0</v>
      </c>
      <c r="S2135" s="1">
        <f t="shared" si="1172"/>
        <v>0</v>
      </c>
      <c r="T2135" s="1">
        <v>0</v>
      </c>
      <c r="U2135" s="1">
        <v>0</v>
      </c>
      <c r="V2135" s="1">
        <v>0</v>
      </c>
      <c r="W2135" s="1">
        <v>50000</v>
      </c>
      <c r="X2135" s="1">
        <v>0</v>
      </c>
      <c r="Y2135" s="1">
        <v>0</v>
      </c>
      <c r="Z2135" s="1">
        <v>0</v>
      </c>
      <c r="AA2135" s="1">
        <v>0</v>
      </c>
      <c r="AB2135" s="1">
        <v>0</v>
      </c>
      <c r="AC2135" s="1">
        <v>0</v>
      </c>
      <c r="AD2135" s="1">
        <v>0</v>
      </c>
    </row>
    <row r="2136" spans="1:30" s="20" customFormat="1" ht="36" customHeight="1" x14ac:dyDescent="0.25">
      <c r="A2136" s="2">
        <f t="shared" si="1195"/>
        <v>2063</v>
      </c>
      <c r="B2136" s="3">
        <f t="shared" si="1116"/>
        <v>2063</v>
      </c>
      <c r="C2136" s="24" t="s">
        <v>1282</v>
      </c>
      <c r="D2136" s="4">
        <f t="shared" si="1193"/>
        <v>7850035</v>
      </c>
      <c r="E2136" s="1">
        <f t="shared" si="1194"/>
        <v>1734018</v>
      </c>
      <c r="F2136" s="1">
        <f>804*517</f>
        <v>415668</v>
      </c>
      <c r="G2136" s="1">
        <f>1693*517</f>
        <v>875281</v>
      </c>
      <c r="H2136" s="1">
        <f>390*517</f>
        <v>201630</v>
      </c>
      <c r="I2136" s="1">
        <v>0</v>
      </c>
      <c r="J2136" s="1">
        <f>467*517</f>
        <v>241439</v>
      </c>
      <c r="K2136" s="1">
        <v>0</v>
      </c>
      <c r="L2136" s="2">
        <v>0</v>
      </c>
      <c r="M2136" s="1">
        <v>0</v>
      </c>
      <c r="N2136" s="1">
        <v>517</v>
      </c>
      <c r="O2136" s="1">
        <f t="shared" si="1196"/>
        <v>4006750</v>
      </c>
      <c r="P2136" s="1">
        <v>50</v>
      </c>
      <c r="Q2136" s="1">
        <f t="shared" si="1171"/>
        <v>70000</v>
      </c>
      <c r="R2136" s="1">
        <v>517</v>
      </c>
      <c r="S2136" s="1">
        <f t="shared" si="1172"/>
        <v>1939267</v>
      </c>
      <c r="T2136" s="1">
        <v>0</v>
      </c>
      <c r="U2136" s="1">
        <v>50000</v>
      </c>
      <c r="V2136" s="1">
        <v>0</v>
      </c>
      <c r="W2136" s="1">
        <v>50000</v>
      </c>
      <c r="X2136" s="1">
        <v>0</v>
      </c>
      <c r="Y2136" s="1">
        <v>0</v>
      </c>
      <c r="Z2136" s="1">
        <v>0</v>
      </c>
      <c r="AA2136" s="1">
        <v>0</v>
      </c>
      <c r="AB2136" s="1">
        <v>0</v>
      </c>
      <c r="AC2136" s="1">
        <v>0</v>
      </c>
      <c r="AD2136" s="1">
        <v>0</v>
      </c>
    </row>
    <row r="2137" spans="1:30" s="20" customFormat="1" ht="36" customHeight="1" x14ac:dyDescent="0.25">
      <c r="A2137" s="2">
        <f t="shared" si="1195"/>
        <v>2064</v>
      </c>
      <c r="B2137" s="3">
        <f t="shared" si="1116"/>
        <v>2064</v>
      </c>
      <c r="C2137" s="24" t="s">
        <v>1283</v>
      </c>
      <c r="D2137" s="4">
        <f t="shared" si="1193"/>
        <v>8623836.5999999996</v>
      </c>
      <c r="E2137" s="1">
        <f t="shared" si="1194"/>
        <v>1909767.5999999999</v>
      </c>
      <c r="F2137" s="1">
        <f>804*569.4</f>
        <v>457797.6</v>
      </c>
      <c r="G2137" s="1">
        <f>1693*569.4</f>
        <v>963994.2</v>
      </c>
      <c r="H2137" s="1">
        <f>390*569.4</f>
        <v>222066</v>
      </c>
      <c r="I2137" s="1">
        <v>0</v>
      </c>
      <c r="J2137" s="1">
        <f>467*569.4</f>
        <v>265909.8</v>
      </c>
      <c r="K2137" s="1">
        <v>0</v>
      </c>
      <c r="L2137" s="2">
        <v>0</v>
      </c>
      <c r="M2137" s="1">
        <v>0</v>
      </c>
      <c r="N2137" s="1">
        <v>569</v>
      </c>
      <c r="O2137" s="1">
        <f t="shared" si="1196"/>
        <v>4409750</v>
      </c>
      <c r="P2137" s="1">
        <v>50</v>
      </c>
      <c r="Q2137" s="1">
        <f t="shared" si="1171"/>
        <v>70000</v>
      </c>
      <c r="R2137" s="1">
        <v>569</v>
      </c>
      <c r="S2137" s="1">
        <f t="shared" si="1172"/>
        <v>2134319</v>
      </c>
      <c r="T2137" s="1">
        <v>0</v>
      </c>
      <c r="U2137" s="1">
        <v>50000</v>
      </c>
      <c r="V2137" s="1">
        <v>0</v>
      </c>
      <c r="W2137" s="1">
        <v>50000</v>
      </c>
      <c r="X2137" s="1">
        <v>0</v>
      </c>
      <c r="Y2137" s="1">
        <v>0</v>
      </c>
      <c r="Z2137" s="1">
        <v>0</v>
      </c>
      <c r="AA2137" s="1">
        <v>0</v>
      </c>
      <c r="AB2137" s="1">
        <v>0</v>
      </c>
      <c r="AC2137" s="1">
        <v>0</v>
      </c>
      <c r="AD2137" s="1">
        <v>0</v>
      </c>
    </row>
    <row r="2138" spans="1:30" s="20" customFormat="1" ht="36" customHeight="1" x14ac:dyDescent="0.25">
      <c r="A2138" s="2">
        <f t="shared" si="1195"/>
        <v>2065</v>
      </c>
      <c r="B2138" s="6">
        <f t="shared" si="1116"/>
        <v>2065</v>
      </c>
      <c r="C2138" s="24" t="s">
        <v>2063</v>
      </c>
      <c r="D2138" s="8">
        <f t="shared" si="1193"/>
        <v>1650440</v>
      </c>
      <c r="E2138" s="1">
        <f t="shared" si="1194"/>
        <v>0</v>
      </c>
      <c r="F2138" s="7">
        <v>0</v>
      </c>
      <c r="G2138" s="1">
        <v>0</v>
      </c>
      <c r="H2138" s="1">
        <v>0</v>
      </c>
      <c r="I2138" s="1">
        <v>0</v>
      </c>
      <c r="J2138" s="1">
        <v>0</v>
      </c>
      <c r="K2138" s="1">
        <v>0</v>
      </c>
      <c r="L2138" s="2">
        <v>0</v>
      </c>
      <c r="M2138" s="1">
        <v>0</v>
      </c>
      <c r="N2138" s="1">
        <v>0</v>
      </c>
      <c r="O2138" s="1">
        <f>N2138*7750</f>
        <v>0</v>
      </c>
      <c r="P2138" s="1">
        <v>0</v>
      </c>
      <c r="Q2138" s="1">
        <f t="shared" si="1171"/>
        <v>0</v>
      </c>
      <c r="R2138" s="1">
        <v>440</v>
      </c>
      <c r="S2138" s="1">
        <f t="shared" si="1172"/>
        <v>1650440</v>
      </c>
      <c r="T2138" s="1">
        <v>0</v>
      </c>
      <c r="U2138" s="1">
        <v>0</v>
      </c>
      <c r="V2138" s="1">
        <v>0</v>
      </c>
      <c r="W2138" s="1">
        <v>0</v>
      </c>
      <c r="X2138" s="1">
        <v>0</v>
      </c>
      <c r="Y2138" s="1">
        <v>0</v>
      </c>
      <c r="Z2138" s="1">
        <v>0</v>
      </c>
      <c r="AA2138" s="1">
        <v>0</v>
      </c>
      <c r="AB2138" s="1">
        <v>0</v>
      </c>
      <c r="AC2138" s="1">
        <v>0</v>
      </c>
      <c r="AD2138" s="1">
        <v>0</v>
      </c>
    </row>
    <row r="2139" spans="1:30" s="20" customFormat="1" ht="36" customHeight="1" x14ac:dyDescent="0.25">
      <c r="A2139" s="2">
        <f t="shared" si="1195"/>
        <v>2066</v>
      </c>
      <c r="B2139" s="3">
        <f t="shared" si="1116"/>
        <v>2066</v>
      </c>
      <c r="C2139" s="24" t="s">
        <v>1768</v>
      </c>
      <c r="D2139" s="4">
        <f t="shared" si="1193"/>
        <v>4056750</v>
      </c>
      <c r="E2139" s="1">
        <f t="shared" si="1194"/>
        <v>0</v>
      </c>
      <c r="F2139" s="1">
        <v>0</v>
      </c>
      <c r="G2139" s="1">
        <v>0</v>
      </c>
      <c r="H2139" s="1">
        <v>0</v>
      </c>
      <c r="I2139" s="1">
        <v>0</v>
      </c>
      <c r="J2139" s="1">
        <v>0</v>
      </c>
      <c r="K2139" s="1">
        <v>0</v>
      </c>
      <c r="L2139" s="2">
        <v>0</v>
      </c>
      <c r="M2139" s="1">
        <v>0</v>
      </c>
      <c r="N2139" s="1">
        <v>517</v>
      </c>
      <c r="O2139" s="1">
        <f t="shared" si="1196"/>
        <v>4006750</v>
      </c>
      <c r="P2139" s="1">
        <v>0</v>
      </c>
      <c r="Q2139" s="1">
        <f t="shared" si="1171"/>
        <v>0</v>
      </c>
      <c r="R2139" s="1">
        <v>0</v>
      </c>
      <c r="S2139" s="1">
        <f t="shared" si="1172"/>
        <v>0</v>
      </c>
      <c r="T2139" s="1">
        <v>0</v>
      </c>
      <c r="U2139" s="1">
        <v>0</v>
      </c>
      <c r="V2139" s="1">
        <v>0</v>
      </c>
      <c r="W2139" s="1">
        <v>50000</v>
      </c>
      <c r="X2139" s="1">
        <v>0</v>
      </c>
      <c r="Y2139" s="1">
        <v>0</v>
      </c>
      <c r="Z2139" s="1">
        <v>0</v>
      </c>
      <c r="AA2139" s="1">
        <v>0</v>
      </c>
      <c r="AB2139" s="1">
        <v>0</v>
      </c>
      <c r="AC2139" s="1">
        <v>0</v>
      </c>
      <c r="AD2139" s="1">
        <v>0</v>
      </c>
    </row>
    <row r="2140" spans="1:30" s="20" customFormat="1" ht="36" customHeight="1" x14ac:dyDescent="0.25">
      <c r="A2140" s="2">
        <f t="shared" si="1195"/>
        <v>2067</v>
      </c>
      <c r="B2140" s="3">
        <f t="shared" si="1116"/>
        <v>2067</v>
      </c>
      <c r="C2140" s="24" t="s">
        <v>1284</v>
      </c>
      <c r="D2140" s="4">
        <f t="shared" si="1193"/>
        <v>8295685</v>
      </c>
      <c r="E2140" s="1">
        <f t="shared" si="1194"/>
        <v>1834638</v>
      </c>
      <c r="F2140" s="1">
        <f>804*547</f>
        <v>439788</v>
      </c>
      <c r="G2140" s="1">
        <f>1693*547</f>
        <v>926071</v>
      </c>
      <c r="H2140" s="1">
        <f>390*547</f>
        <v>213330</v>
      </c>
      <c r="I2140" s="1">
        <v>0</v>
      </c>
      <c r="J2140" s="1">
        <f>467*547</f>
        <v>255449</v>
      </c>
      <c r="K2140" s="1">
        <v>0</v>
      </c>
      <c r="L2140" s="2">
        <v>0</v>
      </c>
      <c r="M2140" s="1">
        <v>0</v>
      </c>
      <c r="N2140" s="1">
        <v>547</v>
      </c>
      <c r="O2140" s="1">
        <f t="shared" si="1196"/>
        <v>4239250</v>
      </c>
      <c r="P2140" s="1">
        <v>50</v>
      </c>
      <c r="Q2140" s="1">
        <f t="shared" si="1171"/>
        <v>70000</v>
      </c>
      <c r="R2140" s="1">
        <v>547</v>
      </c>
      <c r="S2140" s="1">
        <f t="shared" si="1172"/>
        <v>2051797</v>
      </c>
      <c r="T2140" s="1">
        <v>0</v>
      </c>
      <c r="U2140" s="1">
        <v>50000</v>
      </c>
      <c r="V2140" s="1">
        <v>0</v>
      </c>
      <c r="W2140" s="1">
        <v>50000</v>
      </c>
      <c r="X2140" s="1">
        <v>0</v>
      </c>
      <c r="Y2140" s="1">
        <v>0</v>
      </c>
      <c r="Z2140" s="1">
        <v>0</v>
      </c>
      <c r="AA2140" s="1">
        <v>0</v>
      </c>
      <c r="AB2140" s="1">
        <v>0</v>
      </c>
      <c r="AC2140" s="1">
        <v>0</v>
      </c>
      <c r="AD2140" s="1">
        <v>0</v>
      </c>
    </row>
    <row r="2141" spans="1:30" s="20" customFormat="1" ht="36" customHeight="1" x14ac:dyDescent="0.25">
      <c r="A2141" s="2">
        <f t="shared" si="1195"/>
        <v>2068</v>
      </c>
      <c r="B2141" s="3">
        <f t="shared" ref="B2141" si="1197">A2141</f>
        <v>2068</v>
      </c>
      <c r="C2141" s="24" t="s">
        <v>1779</v>
      </c>
      <c r="D2141" s="4">
        <f t="shared" si="1193"/>
        <v>3090416</v>
      </c>
      <c r="E2141" s="1">
        <f t="shared" ref="E2141" si="1198">SUM(F2141:K2141)</f>
        <v>0</v>
      </c>
      <c r="F2141" s="1">
        <v>0</v>
      </c>
      <c r="G2141" s="1">
        <v>0</v>
      </c>
      <c r="H2141" s="1">
        <v>0</v>
      </c>
      <c r="I2141" s="1">
        <v>0</v>
      </c>
      <c r="J2141" s="1">
        <v>0</v>
      </c>
      <c r="K2141" s="1">
        <v>0</v>
      </c>
      <c r="L2141" s="2">
        <v>0</v>
      </c>
      <c r="M2141" s="1">
        <v>0</v>
      </c>
      <c r="N2141" s="1">
        <v>612</v>
      </c>
      <c r="O2141" s="1">
        <f>N2141*4968</f>
        <v>3040416</v>
      </c>
      <c r="P2141" s="1">
        <v>0</v>
      </c>
      <c r="Q2141" s="1">
        <f t="shared" ref="Q2141" si="1199">P2141*1400</f>
        <v>0</v>
      </c>
      <c r="R2141" s="1">
        <v>0</v>
      </c>
      <c r="S2141" s="1">
        <f t="shared" ref="S2141" si="1200">R2141*3751</f>
        <v>0</v>
      </c>
      <c r="T2141" s="1">
        <v>0</v>
      </c>
      <c r="U2141" s="1">
        <v>0</v>
      </c>
      <c r="V2141" s="1">
        <v>0</v>
      </c>
      <c r="W2141" s="1">
        <v>50000</v>
      </c>
      <c r="X2141" s="1">
        <v>0</v>
      </c>
      <c r="Y2141" s="1">
        <v>0</v>
      </c>
      <c r="Z2141" s="1">
        <v>0</v>
      </c>
      <c r="AA2141" s="1">
        <v>0</v>
      </c>
      <c r="AB2141" s="1">
        <v>0</v>
      </c>
      <c r="AC2141" s="1">
        <v>0</v>
      </c>
      <c r="AD2141" s="1">
        <v>0</v>
      </c>
    </row>
    <row r="2142" spans="1:30" s="20" customFormat="1" ht="36" customHeight="1" x14ac:dyDescent="0.25">
      <c r="A2142" s="2">
        <f t="shared" si="1195"/>
        <v>2069</v>
      </c>
      <c r="B2142" s="3">
        <f>A2142</f>
        <v>2069</v>
      </c>
      <c r="C2142" s="24" t="s">
        <v>1633</v>
      </c>
      <c r="D2142" s="4">
        <f t="shared" si="1193"/>
        <v>1890365.1999999997</v>
      </c>
      <c r="E2142" s="1">
        <f t="shared" si="1194"/>
        <v>1790365.1999999997</v>
      </c>
      <c r="F2142" s="1">
        <f>804*533.8</f>
        <v>429175.19999999995</v>
      </c>
      <c r="G2142" s="1">
        <f>1693*533.8</f>
        <v>903723.39999999991</v>
      </c>
      <c r="H2142" s="1">
        <f>390*533.8</f>
        <v>208181.99999999997</v>
      </c>
      <c r="I2142" s="1">
        <v>0</v>
      </c>
      <c r="J2142" s="1">
        <f>467*533.8</f>
        <v>249284.59999999998</v>
      </c>
      <c r="K2142" s="1">
        <v>0</v>
      </c>
      <c r="L2142" s="2">
        <v>0</v>
      </c>
      <c r="M2142" s="1">
        <v>0</v>
      </c>
      <c r="N2142" s="1">
        <v>0</v>
      </c>
      <c r="O2142" s="1">
        <v>0</v>
      </c>
      <c r="P2142" s="1">
        <v>0</v>
      </c>
      <c r="Q2142" s="1">
        <f t="shared" si="1171"/>
        <v>0</v>
      </c>
      <c r="R2142" s="1">
        <v>0</v>
      </c>
      <c r="S2142" s="1">
        <f t="shared" si="1172"/>
        <v>0</v>
      </c>
      <c r="T2142" s="1">
        <v>0</v>
      </c>
      <c r="U2142" s="1">
        <v>50000</v>
      </c>
      <c r="V2142" s="1">
        <v>0</v>
      </c>
      <c r="W2142" s="1">
        <v>50000</v>
      </c>
      <c r="X2142" s="1">
        <v>0</v>
      </c>
      <c r="Y2142" s="1">
        <v>0</v>
      </c>
      <c r="Z2142" s="1">
        <v>0</v>
      </c>
      <c r="AA2142" s="1">
        <v>0</v>
      </c>
      <c r="AB2142" s="1">
        <v>0</v>
      </c>
      <c r="AC2142" s="1">
        <v>0</v>
      </c>
      <c r="AD2142" s="1">
        <v>0</v>
      </c>
    </row>
    <row r="2143" spans="1:30" s="20" customFormat="1" ht="36" customHeight="1" x14ac:dyDescent="0.25">
      <c r="A2143" s="2">
        <f t="shared" si="1195"/>
        <v>2070</v>
      </c>
      <c r="B2143" s="3">
        <f t="shared" si="1116"/>
        <v>2070</v>
      </c>
      <c r="C2143" s="24" t="s">
        <v>1285</v>
      </c>
      <c r="D2143" s="4">
        <f t="shared" si="1193"/>
        <v>6335831.2000000002</v>
      </c>
      <c r="E2143" s="1">
        <f t="shared" si="1194"/>
        <v>1392916.2000000002</v>
      </c>
      <c r="F2143" s="1">
        <f>804*415.3</f>
        <v>333901.2</v>
      </c>
      <c r="G2143" s="1">
        <f>1693*415.3</f>
        <v>703102.9</v>
      </c>
      <c r="H2143" s="1">
        <f>390*415.3</f>
        <v>161967</v>
      </c>
      <c r="I2143" s="1">
        <v>0</v>
      </c>
      <c r="J2143" s="1">
        <f>467*415.3</f>
        <v>193945.1</v>
      </c>
      <c r="K2143" s="1">
        <v>0</v>
      </c>
      <c r="L2143" s="2">
        <v>0</v>
      </c>
      <c r="M2143" s="1">
        <v>0</v>
      </c>
      <c r="N2143" s="1">
        <v>415</v>
      </c>
      <c r="O2143" s="1">
        <f>N2143*7750</f>
        <v>3216250</v>
      </c>
      <c r="P2143" s="1">
        <v>50</v>
      </c>
      <c r="Q2143" s="1">
        <f t="shared" si="1171"/>
        <v>70000</v>
      </c>
      <c r="R2143" s="1">
        <v>415</v>
      </c>
      <c r="S2143" s="1">
        <f t="shared" si="1172"/>
        <v>1556665</v>
      </c>
      <c r="T2143" s="1">
        <v>0</v>
      </c>
      <c r="U2143" s="1">
        <v>50000</v>
      </c>
      <c r="V2143" s="1">
        <v>0</v>
      </c>
      <c r="W2143" s="1">
        <v>50000</v>
      </c>
      <c r="X2143" s="1">
        <v>0</v>
      </c>
      <c r="Y2143" s="1">
        <v>0</v>
      </c>
      <c r="Z2143" s="1">
        <v>0</v>
      </c>
      <c r="AA2143" s="1">
        <v>0</v>
      </c>
      <c r="AB2143" s="1">
        <v>0</v>
      </c>
      <c r="AC2143" s="1">
        <v>0</v>
      </c>
      <c r="AD2143" s="1">
        <v>0</v>
      </c>
    </row>
    <row r="2144" spans="1:30" s="20" customFormat="1" ht="36" customHeight="1" x14ac:dyDescent="0.25">
      <c r="A2144" s="2">
        <f t="shared" si="1195"/>
        <v>2071</v>
      </c>
      <c r="B2144" s="3">
        <f t="shared" si="1116"/>
        <v>2071</v>
      </c>
      <c r="C2144" s="24" t="s">
        <v>1286</v>
      </c>
      <c r="D2144" s="4">
        <f t="shared" si="1193"/>
        <v>7778107.8000000007</v>
      </c>
      <c r="E2144" s="1">
        <f t="shared" si="1194"/>
        <v>1719595.8000000003</v>
      </c>
      <c r="F2144" s="1">
        <f>804*512.7</f>
        <v>412210.80000000005</v>
      </c>
      <c r="G2144" s="1">
        <f>1693*512.7</f>
        <v>868001.10000000009</v>
      </c>
      <c r="H2144" s="1">
        <f>390*512.7</f>
        <v>199953.00000000003</v>
      </c>
      <c r="I2144" s="1">
        <v>0</v>
      </c>
      <c r="J2144" s="1">
        <f>467*512.7</f>
        <v>239430.90000000002</v>
      </c>
      <c r="K2144" s="1">
        <v>0</v>
      </c>
      <c r="L2144" s="2">
        <v>0</v>
      </c>
      <c r="M2144" s="1">
        <v>0</v>
      </c>
      <c r="N2144" s="1">
        <v>512</v>
      </c>
      <c r="O2144" s="1">
        <f>N2144*7750</f>
        <v>3968000</v>
      </c>
      <c r="P2144" s="1">
        <v>50</v>
      </c>
      <c r="Q2144" s="1">
        <f t="shared" si="1171"/>
        <v>70000</v>
      </c>
      <c r="R2144" s="1">
        <v>512</v>
      </c>
      <c r="S2144" s="1">
        <f t="shared" si="1172"/>
        <v>1920512</v>
      </c>
      <c r="T2144" s="1">
        <v>0</v>
      </c>
      <c r="U2144" s="1">
        <v>50000</v>
      </c>
      <c r="V2144" s="1">
        <v>0</v>
      </c>
      <c r="W2144" s="1">
        <v>50000</v>
      </c>
      <c r="X2144" s="1">
        <v>0</v>
      </c>
      <c r="Y2144" s="1">
        <v>0</v>
      </c>
      <c r="Z2144" s="1">
        <v>0</v>
      </c>
      <c r="AA2144" s="1">
        <v>0</v>
      </c>
      <c r="AB2144" s="1">
        <v>0</v>
      </c>
      <c r="AC2144" s="1">
        <v>0</v>
      </c>
      <c r="AD2144" s="1">
        <v>0</v>
      </c>
    </row>
    <row r="2145" spans="1:30" s="20" customFormat="1" ht="36" customHeight="1" x14ac:dyDescent="0.25">
      <c r="A2145" s="2">
        <f t="shared" si="1195"/>
        <v>2072</v>
      </c>
      <c r="B2145" s="6">
        <f t="shared" si="1116"/>
        <v>2072</v>
      </c>
      <c r="C2145" s="24" t="s">
        <v>2065</v>
      </c>
      <c r="D2145" s="8">
        <f t="shared" si="1193"/>
        <v>2711317</v>
      </c>
      <c r="E2145" s="1">
        <f t="shared" si="1194"/>
        <v>1078395</v>
      </c>
      <c r="F2145" s="7">
        <v>0</v>
      </c>
      <c r="G2145" s="1">
        <f>1693*422.9</f>
        <v>715969.7</v>
      </c>
      <c r="H2145" s="1">
        <f>390*422.9</f>
        <v>164931</v>
      </c>
      <c r="I2145" s="1">
        <v>0</v>
      </c>
      <c r="J2145" s="1">
        <f>467*422.9</f>
        <v>197494.3</v>
      </c>
      <c r="K2145" s="1">
        <v>0</v>
      </c>
      <c r="L2145" s="2">
        <v>0</v>
      </c>
      <c r="M2145" s="1">
        <v>0</v>
      </c>
      <c r="N2145" s="1">
        <v>0</v>
      </c>
      <c r="O2145" s="1">
        <f>N2145*7750</f>
        <v>0</v>
      </c>
      <c r="P2145" s="1">
        <v>0</v>
      </c>
      <c r="Q2145" s="1">
        <f t="shared" si="1171"/>
        <v>0</v>
      </c>
      <c r="R2145" s="1">
        <v>422</v>
      </c>
      <c r="S2145" s="1">
        <f t="shared" si="1172"/>
        <v>1582922</v>
      </c>
      <c r="T2145" s="1">
        <v>0</v>
      </c>
      <c r="U2145" s="1">
        <v>50000</v>
      </c>
      <c r="V2145" s="1">
        <v>0</v>
      </c>
      <c r="W2145" s="1">
        <v>0</v>
      </c>
      <c r="X2145" s="1">
        <v>0</v>
      </c>
      <c r="Y2145" s="1">
        <v>0</v>
      </c>
      <c r="Z2145" s="1">
        <v>0</v>
      </c>
      <c r="AA2145" s="1">
        <v>0</v>
      </c>
      <c r="AB2145" s="1">
        <v>0</v>
      </c>
      <c r="AC2145" s="1">
        <v>0</v>
      </c>
      <c r="AD2145" s="1">
        <v>0</v>
      </c>
    </row>
    <row r="2146" spans="1:30" s="20" customFormat="1" ht="54.95" customHeight="1" x14ac:dyDescent="0.25">
      <c r="A2146" s="3"/>
      <c r="B2146" s="47" t="s">
        <v>1974</v>
      </c>
      <c r="C2146" s="48"/>
      <c r="D2146" s="4">
        <f>SUM(D2147)</f>
        <v>2998469.16</v>
      </c>
      <c r="E2146" s="4">
        <f t="shared" ref="E2146:AD2146" si="1201">SUM(E2147)</f>
        <v>1328069.1599999999</v>
      </c>
      <c r="F2146" s="4">
        <f t="shared" si="1201"/>
        <v>642846.24</v>
      </c>
      <c r="G2146" s="4">
        <f t="shared" si="1201"/>
        <v>0</v>
      </c>
      <c r="H2146" s="4">
        <f t="shared" si="1201"/>
        <v>311828.39999999997</v>
      </c>
      <c r="I2146" s="4">
        <f t="shared" si="1201"/>
        <v>0</v>
      </c>
      <c r="J2146" s="4">
        <f t="shared" si="1201"/>
        <v>373394.51999999996</v>
      </c>
      <c r="K2146" s="4">
        <f t="shared" si="1201"/>
        <v>0</v>
      </c>
      <c r="L2146" s="17">
        <f t="shared" si="1201"/>
        <v>0</v>
      </c>
      <c r="M2146" s="4">
        <f t="shared" si="1201"/>
        <v>0</v>
      </c>
      <c r="N2146" s="4">
        <f t="shared" si="1201"/>
        <v>0</v>
      </c>
      <c r="O2146" s="4">
        <f t="shared" si="1201"/>
        <v>0</v>
      </c>
      <c r="P2146" s="4">
        <f t="shared" si="1201"/>
        <v>50</v>
      </c>
      <c r="Q2146" s="4">
        <f t="shared" si="1201"/>
        <v>70000</v>
      </c>
      <c r="R2146" s="4">
        <f t="shared" si="1201"/>
        <v>400</v>
      </c>
      <c r="S2146" s="4">
        <f t="shared" si="1201"/>
        <v>1500400</v>
      </c>
      <c r="T2146" s="4">
        <f t="shared" si="1201"/>
        <v>0</v>
      </c>
      <c r="U2146" s="4">
        <f t="shared" si="1201"/>
        <v>50000</v>
      </c>
      <c r="V2146" s="4">
        <f t="shared" si="1201"/>
        <v>0</v>
      </c>
      <c r="W2146" s="4">
        <f t="shared" si="1201"/>
        <v>50000</v>
      </c>
      <c r="X2146" s="4">
        <f t="shared" si="1201"/>
        <v>0</v>
      </c>
      <c r="Y2146" s="4">
        <f t="shared" si="1201"/>
        <v>0</v>
      </c>
      <c r="Z2146" s="4">
        <f t="shared" si="1201"/>
        <v>0</v>
      </c>
      <c r="AA2146" s="4">
        <f t="shared" si="1201"/>
        <v>0</v>
      </c>
      <c r="AB2146" s="4">
        <f t="shared" si="1201"/>
        <v>0</v>
      </c>
      <c r="AC2146" s="4">
        <f t="shared" si="1201"/>
        <v>0</v>
      </c>
      <c r="AD2146" s="4">
        <f t="shared" si="1201"/>
        <v>0</v>
      </c>
    </row>
    <row r="2147" spans="1:30" s="20" customFormat="1" ht="36" customHeight="1" x14ac:dyDescent="0.25">
      <c r="A2147" s="2">
        <f>ROW()-ROW($A$11)-63</f>
        <v>2073</v>
      </c>
      <c r="B2147" s="3">
        <f t="shared" si="1116"/>
        <v>2073</v>
      </c>
      <c r="C2147" s="19" t="s">
        <v>1287</v>
      </c>
      <c r="D2147" s="4">
        <f>E2147+M2147+O2147+Q2147+S2147+T2147+U2147+V2147+W2147+X2147+Z2147+AA2147+AB2147+AC2147+AD2147</f>
        <v>2998469.16</v>
      </c>
      <c r="E2147" s="1">
        <f>SUM(F2147:K2147)</f>
        <v>1328069.1599999999</v>
      </c>
      <c r="F2147" s="1">
        <f>804*799.56</f>
        <v>642846.24</v>
      </c>
      <c r="G2147" s="1">
        <v>0</v>
      </c>
      <c r="H2147" s="1">
        <f>390*799.56</f>
        <v>311828.39999999997</v>
      </c>
      <c r="I2147" s="1">
        <v>0</v>
      </c>
      <c r="J2147" s="1">
        <f>467*799.56</f>
        <v>373394.51999999996</v>
      </c>
      <c r="K2147" s="1">
        <v>0</v>
      </c>
      <c r="L2147" s="2">
        <v>0</v>
      </c>
      <c r="M2147" s="1">
        <v>0</v>
      </c>
      <c r="N2147" s="1">
        <v>0</v>
      </c>
      <c r="O2147" s="1">
        <v>0</v>
      </c>
      <c r="P2147" s="1">
        <v>50</v>
      </c>
      <c r="Q2147" s="1">
        <f>P2147*1400</f>
        <v>70000</v>
      </c>
      <c r="R2147" s="1">
        <v>400</v>
      </c>
      <c r="S2147" s="1">
        <f>R2147*3751</f>
        <v>1500400</v>
      </c>
      <c r="T2147" s="1">
        <v>0</v>
      </c>
      <c r="U2147" s="1">
        <v>50000</v>
      </c>
      <c r="V2147" s="1">
        <v>0</v>
      </c>
      <c r="W2147" s="1">
        <v>50000</v>
      </c>
      <c r="X2147" s="1">
        <v>0</v>
      </c>
      <c r="Y2147" s="1">
        <v>0</v>
      </c>
      <c r="Z2147" s="1">
        <v>0</v>
      </c>
      <c r="AA2147" s="1">
        <v>0</v>
      </c>
      <c r="AB2147" s="1">
        <v>0</v>
      </c>
      <c r="AC2147" s="1">
        <v>0</v>
      </c>
      <c r="AD2147" s="1">
        <v>0</v>
      </c>
    </row>
    <row r="2148" spans="1:30" s="20" customFormat="1" ht="54.95" customHeight="1" x14ac:dyDescent="0.25">
      <c r="A2148" s="3"/>
      <c r="B2148" s="47" t="s">
        <v>1995</v>
      </c>
      <c r="C2148" s="48"/>
      <c r="D2148" s="4">
        <f>SUM(D2149:D2168)</f>
        <v>133339524.5</v>
      </c>
      <c r="E2148" s="4">
        <f t="shared" ref="E2148:AD2148" si="1202">SUM(E2149:E2168)</f>
        <v>20862710.5</v>
      </c>
      <c r="F2148" s="4">
        <f t="shared" si="1202"/>
        <v>7995860.4000000004</v>
      </c>
      <c r="G2148" s="4">
        <f t="shared" si="1202"/>
        <v>4343899.3999999994</v>
      </c>
      <c r="H2148" s="4">
        <f t="shared" si="1202"/>
        <v>3878589</v>
      </c>
      <c r="I2148" s="4">
        <f t="shared" si="1202"/>
        <v>0</v>
      </c>
      <c r="J2148" s="4">
        <f t="shared" si="1202"/>
        <v>4644361.7</v>
      </c>
      <c r="K2148" s="4">
        <f t="shared" si="1202"/>
        <v>0</v>
      </c>
      <c r="L2148" s="17">
        <f t="shared" si="1202"/>
        <v>0</v>
      </c>
      <c r="M2148" s="4">
        <f t="shared" si="1202"/>
        <v>0</v>
      </c>
      <c r="N2148" s="4">
        <f t="shared" si="1202"/>
        <v>10887</v>
      </c>
      <c r="O2148" s="4">
        <f t="shared" si="1202"/>
        <v>81314050</v>
      </c>
      <c r="P2148" s="4">
        <f t="shared" si="1202"/>
        <v>100</v>
      </c>
      <c r="Q2148" s="4">
        <f t="shared" si="1202"/>
        <v>140000</v>
      </c>
      <c r="R2148" s="4">
        <f t="shared" si="1202"/>
        <v>7764</v>
      </c>
      <c r="S2148" s="4">
        <f t="shared" si="1202"/>
        <v>29122764</v>
      </c>
      <c r="T2148" s="4">
        <f t="shared" si="1202"/>
        <v>0</v>
      </c>
      <c r="U2148" s="4">
        <f t="shared" si="1202"/>
        <v>900000</v>
      </c>
      <c r="V2148" s="4">
        <f t="shared" si="1202"/>
        <v>0</v>
      </c>
      <c r="W2148" s="4">
        <f t="shared" si="1202"/>
        <v>1000000</v>
      </c>
      <c r="X2148" s="4">
        <f t="shared" si="1202"/>
        <v>0</v>
      </c>
      <c r="Y2148" s="4">
        <f t="shared" si="1202"/>
        <v>0</v>
      </c>
      <c r="Z2148" s="4">
        <f t="shared" si="1202"/>
        <v>0</v>
      </c>
      <c r="AA2148" s="4">
        <f t="shared" si="1202"/>
        <v>0</v>
      </c>
      <c r="AB2148" s="4">
        <f t="shared" si="1202"/>
        <v>0</v>
      </c>
      <c r="AC2148" s="4">
        <f t="shared" si="1202"/>
        <v>0</v>
      </c>
      <c r="AD2148" s="4">
        <f t="shared" si="1202"/>
        <v>0</v>
      </c>
    </row>
    <row r="2149" spans="1:30" s="20" customFormat="1" ht="36" customHeight="1" x14ac:dyDescent="0.25">
      <c r="A2149" s="2">
        <f>ROW()-ROW($A$11)-64</f>
        <v>2074</v>
      </c>
      <c r="B2149" s="3">
        <f t="shared" si="1116"/>
        <v>2074</v>
      </c>
      <c r="C2149" s="19" t="s">
        <v>1288</v>
      </c>
      <c r="D2149" s="4">
        <f t="shared" ref="D2149:D2168" si="1203">E2149+M2149+O2149+Q2149+S2149+T2149+U2149+V2149+W2149+X2149+Z2149+AA2149+AB2149+AC2149+AD2149</f>
        <v>4656324.0999999996</v>
      </c>
      <c r="E2149" s="1">
        <f t="shared" ref="E2149:E2168" si="1204">SUM(F2149:K2149)</f>
        <v>614736.10000000009</v>
      </c>
      <c r="F2149" s="1">
        <f>804*370.1</f>
        <v>297560.40000000002</v>
      </c>
      <c r="G2149" s="1">
        <v>0</v>
      </c>
      <c r="H2149" s="1">
        <f>390*370.1</f>
        <v>144339</v>
      </c>
      <c r="I2149" s="1">
        <v>0</v>
      </c>
      <c r="J2149" s="1">
        <f>467*370.1</f>
        <v>172836.7</v>
      </c>
      <c r="K2149" s="1">
        <v>0</v>
      </c>
      <c r="L2149" s="2">
        <v>0</v>
      </c>
      <c r="M2149" s="1">
        <v>0</v>
      </c>
      <c r="N2149" s="1">
        <v>345</v>
      </c>
      <c r="O2149" s="1">
        <f>N2149*7750</f>
        <v>2673750</v>
      </c>
      <c r="P2149" s="1">
        <v>0</v>
      </c>
      <c r="Q2149" s="1">
        <f t="shared" ref="Q2149:Q2187" si="1205">P2149*1400</f>
        <v>0</v>
      </c>
      <c r="R2149" s="1">
        <v>338</v>
      </c>
      <c r="S2149" s="1">
        <f t="shared" ref="S2149:S2187" si="1206">R2149*3751</f>
        <v>1267838</v>
      </c>
      <c r="T2149" s="1">
        <v>0</v>
      </c>
      <c r="U2149" s="1">
        <v>50000</v>
      </c>
      <c r="V2149" s="1">
        <v>0</v>
      </c>
      <c r="W2149" s="1">
        <v>50000</v>
      </c>
      <c r="X2149" s="1">
        <v>0</v>
      </c>
      <c r="Y2149" s="1">
        <v>0</v>
      </c>
      <c r="Z2149" s="1">
        <v>0</v>
      </c>
      <c r="AA2149" s="1">
        <v>0</v>
      </c>
      <c r="AB2149" s="1">
        <v>0</v>
      </c>
      <c r="AC2149" s="1">
        <v>0</v>
      </c>
      <c r="AD2149" s="1">
        <v>0</v>
      </c>
    </row>
    <row r="2150" spans="1:30" s="20" customFormat="1" ht="36" customHeight="1" x14ac:dyDescent="0.25">
      <c r="A2150" s="2">
        <f t="shared" ref="A2150:A2168" si="1207">ROW()-ROW($A$11)-64</f>
        <v>2075</v>
      </c>
      <c r="B2150" s="3">
        <f t="shared" si="1116"/>
        <v>2075</v>
      </c>
      <c r="C2150" s="19" t="s">
        <v>1289</v>
      </c>
      <c r="D2150" s="4">
        <f t="shared" si="1203"/>
        <v>8068759.9000000004</v>
      </c>
      <c r="E2150" s="1">
        <f t="shared" si="1204"/>
        <v>1247244.8999999999</v>
      </c>
      <c r="F2150" s="1">
        <f>804*750.9</f>
        <v>603723.6</v>
      </c>
      <c r="G2150" s="1">
        <v>0</v>
      </c>
      <c r="H2150" s="1">
        <f>390*750.9</f>
        <v>292851</v>
      </c>
      <c r="I2150" s="1">
        <v>0</v>
      </c>
      <c r="J2150" s="1">
        <f>467*750.9</f>
        <v>350670.3</v>
      </c>
      <c r="K2150" s="1">
        <v>0</v>
      </c>
      <c r="L2150" s="2">
        <v>0</v>
      </c>
      <c r="M2150" s="1">
        <v>0</v>
      </c>
      <c r="N2150" s="1">
        <v>609</v>
      </c>
      <c r="O2150" s="1">
        <f>N2150*7750</f>
        <v>4719750</v>
      </c>
      <c r="P2150" s="1">
        <v>50</v>
      </c>
      <c r="Q2150" s="1">
        <f t="shared" si="1205"/>
        <v>70000</v>
      </c>
      <c r="R2150" s="1">
        <v>515</v>
      </c>
      <c r="S2150" s="1">
        <f t="shared" si="1206"/>
        <v>1931765</v>
      </c>
      <c r="T2150" s="1">
        <v>0</v>
      </c>
      <c r="U2150" s="1">
        <v>50000</v>
      </c>
      <c r="V2150" s="1">
        <v>0</v>
      </c>
      <c r="W2150" s="1">
        <v>50000</v>
      </c>
      <c r="X2150" s="1">
        <v>0</v>
      </c>
      <c r="Y2150" s="1">
        <v>0</v>
      </c>
      <c r="Z2150" s="1">
        <v>0</v>
      </c>
      <c r="AA2150" s="1">
        <v>0</v>
      </c>
      <c r="AB2150" s="1">
        <v>0</v>
      </c>
      <c r="AC2150" s="1">
        <v>0</v>
      </c>
      <c r="AD2150" s="1">
        <v>0</v>
      </c>
    </row>
    <row r="2151" spans="1:30" s="20" customFormat="1" ht="36" customHeight="1" x14ac:dyDescent="0.25">
      <c r="A2151" s="2">
        <f t="shared" si="1207"/>
        <v>2076</v>
      </c>
      <c r="B2151" s="3">
        <f t="shared" si="1116"/>
        <v>2076</v>
      </c>
      <c r="C2151" s="19" t="s">
        <v>1290</v>
      </c>
      <c r="D2151" s="4">
        <f t="shared" si="1203"/>
        <v>4853501</v>
      </c>
      <c r="E2151" s="1">
        <f t="shared" si="1204"/>
        <v>622875</v>
      </c>
      <c r="F2151" s="1">
        <f>804*375</f>
        <v>301500</v>
      </c>
      <c r="G2151" s="1">
        <v>0</v>
      </c>
      <c r="H2151" s="1">
        <f>390*375</f>
        <v>146250</v>
      </c>
      <c r="I2151" s="1">
        <v>0</v>
      </c>
      <c r="J2151" s="1">
        <f>467*375</f>
        <v>175125</v>
      </c>
      <c r="K2151" s="1">
        <v>0</v>
      </c>
      <c r="L2151" s="2">
        <v>0</v>
      </c>
      <c r="M2151" s="1">
        <v>0</v>
      </c>
      <c r="N2151" s="1">
        <v>351</v>
      </c>
      <c r="O2151" s="1">
        <f>N2151*7750</f>
        <v>2720250</v>
      </c>
      <c r="P2151" s="1">
        <v>0</v>
      </c>
      <c r="Q2151" s="1">
        <f t="shared" si="1205"/>
        <v>0</v>
      </c>
      <c r="R2151" s="1">
        <v>376</v>
      </c>
      <c r="S2151" s="1">
        <f t="shared" si="1206"/>
        <v>1410376</v>
      </c>
      <c r="T2151" s="1">
        <v>0</v>
      </c>
      <c r="U2151" s="1">
        <v>50000</v>
      </c>
      <c r="V2151" s="1">
        <v>0</v>
      </c>
      <c r="W2151" s="1">
        <v>50000</v>
      </c>
      <c r="X2151" s="1">
        <v>0</v>
      </c>
      <c r="Y2151" s="1">
        <v>0</v>
      </c>
      <c r="Z2151" s="1">
        <v>0</v>
      </c>
      <c r="AA2151" s="1">
        <v>0</v>
      </c>
      <c r="AB2151" s="1">
        <v>0</v>
      </c>
      <c r="AC2151" s="1">
        <v>0</v>
      </c>
      <c r="AD2151" s="1">
        <v>0</v>
      </c>
    </row>
    <row r="2152" spans="1:30" s="20" customFormat="1" ht="36" customHeight="1" x14ac:dyDescent="0.25">
      <c r="A2152" s="2">
        <f t="shared" si="1207"/>
        <v>2077</v>
      </c>
      <c r="B2152" s="3">
        <f t="shared" si="1116"/>
        <v>2077</v>
      </c>
      <c r="C2152" s="19" t="s">
        <v>1291</v>
      </c>
      <c r="D2152" s="4">
        <f t="shared" si="1203"/>
        <v>4813637</v>
      </c>
      <c r="E2152" s="1">
        <f t="shared" si="1204"/>
        <v>583011</v>
      </c>
      <c r="F2152" s="1">
        <f>804*351</f>
        <v>282204</v>
      </c>
      <c r="G2152" s="1">
        <v>0</v>
      </c>
      <c r="H2152" s="1">
        <f>390*351</f>
        <v>136890</v>
      </c>
      <c r="I2152" s="1">
        <v>0</v>
      </c>
      <c r="J2152" s="1">
        <f>467*351</f>
        <v>163917</v>
      </c>
      <c r="K2152" s="1">
        <v>0</v>
      </c>
      <c r="L2152" s="2">
        <v>0</v>
      </c>
      <c r="M2152" s="1">
        <v>0</v>
      </c>
      <c r="N2152" s="1">
        <v>351</v>
      </c>
      <c r="O2152" s="1">
        <f>N2152*7750</f>
        <v>2720250</v>
      </c>
      <c r="P2152" s="1">
        <v>0</v>
      </c>
      <c r="Q2152" s="1">
        <f t="shared" si="1205"/>
        <v>0</v>
      </c>
      <c r="R2152" s="1">
        <v>376</v>
      </c>
      <c r="S2152" s="1">
        <f t="shared" si="1206"/>
        <v>1410376</v>
      </c>
      <c r="T2152" s="1">
        <v>0</v>
      </c>
      <c r="U2152" s="1">
        <v>50000</v>
      </c>
      <c r="V2152" s="1">
        <v>0</v>
      </c>
      <c r="W2152" s="1">
        <v>50000</v>
      </c>
      <c r="X2152" s="1">
        <v>0</v>
      </c>
      <c r="Y2152" s="1">
        <v>0</v>
      </c>
      <c r="Z2152" s="1">
        <v>0</v>
      </c>
      <c r="AA2152" s="1">
        <v>0</v>
      </c>
      <c r="AB2152" s="1">
        <v>0</v>
      </c>
      <c r="AC2152" s="1">
        <v>0</v>
      </c>
      <c r="AD2152" s="1">
        <v>0</v>
      </c>
    </row>
    <row r="2153" spans="1:30" s="20" customFormat="1" ht="36" customHeight="1" x14ac:dyDescent="0.25">
      <c r="A2153" s="2">
        <f t="shared" si="1207"/>
        <v>2078</v>
      </c>
      <c r="B2153" s="3">
        <f t="shared" si="1116"/>
        <v>2078</v>
      </c>
      <c r="C2153" s="19" t="s">
        <v>2548</v>
      </c>
      <c r="D2153" s="4">
        <f t="shared" si="1203"/>
        <v>2350174.2999999998</v>
      </c>
      <c r="E2153" s="1">
        <f t="shared" si="1204"/>
        <v>704762.3</v>
      </c>
      <c r="F2153" s="1">
        <f>804*424.3</f>
        <v>341137.2</v>
      </c>
      <c r="G2153" s="1">
        <v>0</v>
      </c>
      <c r="H2153" s="1">
        <f>390*424.3</f>
        <v>165477</v>
      </c>
      <c r="I2153" s="1">
        <v>0</v>
      </c>
      <c r="J2153" s="1">
        <f>467*424.3</f>
        <v>198148.1</v>
      </c>
      <c r="K2153" s="1">
        <v>0</v>
      </c>
      <c r="L2153" s="2">
        <v>0</v>
      </c>
      <c r="M2153" s="1">
        <v>0</v>
      </c>
      <c r="N2153" s="1">
        <v>0</v>
      </c>
      <c r="O2153" s="1">
        <v>0</v>
      </c>
      <c r="P2153" s="1">
        <v>0</v>
      </c>
      <c r="Q2153" s="1">
        <f t="shared" si="1205"/>
        <v>0</v>
      </c>
      <c r="R2153" s="1">
        <v>412</v>
      </c>
      <c r="S2153" s="1">
        <f t="shared" si="1206"/>
        <v>1545412</v>
      </c>
      <c r="T2153" s="1">
        <v>0</v>
      </c>
      <c r="U2153" s="1">
        <v>50000</v>
      </c>
      <c r="V2153" s="1">
        <v>0</v>
      </c>
      <c r="W2153" s="1">
        <v>50000</v>
      </c>
      <c r="X2153" s="1">
        <v>0</v>
      </c>
      <c r="Y2153" s="1">
        <v>0</v>
      </c>
      <c r="Z2153" s="1">
        <v>0</v>
      </c>
      <c r="AA2153" s="1">
        <v>0</v>
      </c>
      <c r="AB2153" s="1">
        <v>0</v>
      </c>
      <c r="AC2153" s="1">
        <v>0</v>
      </c>
      <c r="AD2153" s="1">
        <v>0</v>
      </c>
    </row>
    <row r="2154" spans="1:30" s="20" customFormat="1" ht="36" customHeight="1" x14ac:dyDescent="0.25">
      <c r="A2154" s="2">
        <f t="shared" si="1207"/>
        <v>2079</v>
      </c>
      <c r="B2154" s="3">
        <f t="shared" si="1116"/>
        <v>2079</v>
      </c>
      <c r="C2154" s="19" t="s">
        <v>2549</v>
      </c>
      <c r="D2154" s="4">
        <f t="shared" si="1203"/>
        <v>1720582.7</v>
      </c>
      <c r="E2154" s="1">
        <f t="shared" si="1204"/>
        <v>502784.69999999995</v>
      </c>
      <c r="F2154" s="1">
        <f>804*302.7</f>
        <v>243370.8</v>
      </c>
      <c r="G2154" s="1">
        <v>0</v>
      </c>
      <c r="H2154" s="1">
        <f>390*302.7</f>
        <v>118053</v>
      </c>
      <c r="I2154" s="1">
        <v>0</v>
      </c>
      <c r="J2154" s="1">
        <f>467*302.7</f>
        <v>141360.9</v>
      </c>
      <c r="K2154" s="1">
        <v>0</v>
      </c>
      <c r="L2154" s="2">
        <v>0</v>
      </c>
      <c r="M2154" s="1">
        <v>0</v>
      </c>
      <c r="N2154" s="1">
        <v>0</v>
      </c>
      <c r="O2154" s="1">
        <v>0</v>
      </c>
      <c r="P2154" s="1">
        <v>0</v>
      </c>
      <c r="Q2154" s="1">
        <f t="shared" si="1205"/>
        <v>0</v>
      </c>
      <c r="R2154" s="1">
        <v>298</v>
      </c>
      <c r="S2154" s="1">
        <f t="shared" si="1206"/>
        <v>1117798</v>
      </c>
      <c r="T2154" s="1">
        <v>0</v>
      </c>
      <c r="U2154" s="1">
        <v>50000</v>
      </c>
      <c r="V2154" s="1">
        <v>0</v>
      </c>
      <c r="W2154" s="1">
        <v>50000</v>
      </c>
      <c r="X2154" s="1">
        <v>0</v>
      </c>
      <c r="Y2154" s="1">
        <v>0</v>
      </c>
      <c r="Z2154" s="1">
        <v>0</v>
      </c>
      <c r="AA2154" s="1">
        <v>0</v>
      </c>
      <c r="AB2154" s="1">
        <v>0</v>
      </c>
      <c r="AC2154" s="1">
        <v>0</v>
      </c>
      <c r="AD2154" s="1">
        <v>0</v>
      </c>
    </row>
    <row r="2155" spans="1:30" s="20" customFormat="1" ht="36" customHeight="1" x14ac:dyDescent="0.25">
      <c r="A2155" s="2">
        <f t="shared" si="1207"/>
        <v>2080</v>
      </c>
      <c r="B2155" s="3">
        <f t="shared" si="1116"/>
        <v>2080</v>
      </c>
      <c r="C2155" s="19" t="s">
        <v>1292</v>
      </c>
      <c r="D2155" s="4">
        <f t="shared" si="1203"/>
        <v>7704098.5</v>
      </c>
      <c r="E2155" s="1">
        <f t="shared" si="1204"/>
        <v>952583.5</v>
      </c>
      <c r="F2155" s="1">
        <f>804*573.5</f>
        <v>461094</v>
      </c>
      <c r="G2155" s="1">
        <v>0</v>
      </c>
      <c r="H2155" s="1">
        <f>390*573.5</f>
        <v>223665</v>
      </c>
      <c r="I2155" s="1">
        <v>0</v>
      </c>
      <c r="J2155" s="1">
        <f>467*573.5</f>
        <v>267824.5</v>
      </c>
      <c r="K2155" s="1">
        <v>0</v>
      </c>
      <c r="L2155" s="2">
        <v>0</v>
      </c>
      <c r="M2155" s="1">
        <v>0</v>
      </c>
      <c r="N2155" s="1">
        <v>609</v>
      </c>
      <c r="O2155" s="1">
        <f t="shared" ref="O2155:O2163" si="1208">N2155*7750</f>
        <v>4719750</v>
      </c>
      <c r="P2155" s="1">
        <v>0</v>
      </c>
      <c r="Q2155" s="1">
        <f t="shared" si="1205"/>
        <v>0</v>
      </c>
      <c r="R2155" s="1">
        <v>515</v>
      </c>
      <c r="S2155" s="1">
        <f t="shared" si="1206"/>
        <v>1931765</v>
      </c>
      <c r="T2155" s="1">
        <v>0</v>
      </c>
      <c r="U2155" s="1">
        <v>50000</v>
      </c>
      <c r="V2155" s="1">
        <v>0</v>
      </c>
      <c r="W2155" s="1">
        <v>50000</v>
      </c>
      <c r="X2155" s="1">
        <v>0</v>
      </c>
      <c r="Y2155" s="1">
        <v>0</v>
      </c>
      <c r="Z2155" s="1">
        <v>0</v>
      </c>
      <c r="AA2155" s="1">
        <v>0</v>
      </c>
      <c r="AB2155" s="1">
        <v>0</v>
      </c>
      <c r="AC2155" s="1">
        <v>0</v>
      </c>
      <c r="AD2155" s="1">
        <v>0</v>
      </c>
    </row>
    <row r="2156" spans="1:30" s="20" customFormat="1" ht="36" customHeight="1" x14ac:dyDescent="0.25">
      <c r="A2156" s="2">
        <f t="shared" si="1207"/>
        <v>2081</v>
      </c>
      <c r="B2156" s="3">
        <f t="shared" si="1116"/>
        <v>2081</v>
      </c>
      <c r="C2156" s="19" t="s">
        <v>1293</v>
      </c>
      <c r="D2156" s="4">
        <f t="shared" si="1203"/>
        <v>4671431.2</v>
      </c>
      <c r="E2156" s="1">
        <f t="shared" si="1204"/>
        <v>583343.19999999995</v>
      </c>
      <c r="F2156" s="1">
        <f>804*351.2</f>
        <v>282364.79999999999</v>
      </c>
      <c r="G2156" s="1">
        <v>0</v>
      </c>
      <c r="H2156" s="1">
        <f>390*351.2</f>
        <v>136968</v>
      </c>
      <c r="I2156" s="1">
        <v>0</v>
      </c>
      <c r="J2156" s="1">
        <f>467*351.2</f>
        <v>164010.4</v>
      </c>
      <c r="K2156" s="1">
        <v>0</v>
      </c>
      <c r="L2156" s="2">
        <v>0</v>
      </c>
      <c r="M2156" s="1">
        <v>0</v>
      </c>
      <c r="N2156" s="1">
        <v>351</v>
      </c>
      <c r="O2156" s="1">
        <f t="shared" si="1208"/>
        <v>2720250</v>
      </c>
      <c r="P2156" s="1">
        <v>0</v>
      </c>
      <c r="Q2156" s="1">
        <f t="shared" si="1205"/>
        <v>0</v>
      </c>
      <c r="R2156" s="1">
        <v>338</v>
      </c>
      <c r="S2156" s="1">
        <f t="shared" si="1206"/>
        <v>1267838</v>
      </c>
      <c r="T2156" s="1">
        <v>0</v>
      </c>
      <c r="U2156" s="1">
        <v>50000</v>
      </c>
      <c r="V2156" s="1">
        <v>0</v>
      </c>
      <c r="W2156" s="1">
        <v>50000</v>
      </c>
      <c r="X2156" s="1">
        <v>0</v>
      </c>
      <c r="Y2156" s="1">
        <v>0</v>
      </c>
      <c r="Z2156" s="1">
        <v>0</v>
      </c>
      <c r="AA2156" s="1">
        <v>0</v>
      </c>
      <c r="AB2156" s="1">
        <v>0</v>
      </c>
      <c r="AC2156" s="1">
        <v>0</v>
      </c>
      <c r="AD2156" s="1">
        <v>0</v>
      </c>
    </row>
    <row r="2157" spans="1:30" s="20" customFormat="1" ht="36" customHeight="1" x14ac:dyDescent="0.25">
      <c r="A2157" s="2">
        <f t="shared" si="1207"/>
        <v>2082</v>
      </c>
      <c r="B2157" s="3">
        <f t="shared" si="1116"/>
        <v>2082</v>
      </c>
      <c r="C2157" s="19" t="s">
        <v>1295</v>
      </c>
      <c r="D2157" s="4">
        <f t="shared" si="1203"/>
        <v>11016573.199999999</v>
      </c>
      <c r="E2157" s="1">
        <f t="shared" si="1204"/>
        <v>2670790.1999999997</v>
      </c>
      <c r="F2157" s="1">
        <f>804*796.3</f>
        <v>640225.19999999995</v>
      </c>
      <c r="G2157" s="1">
        <f>1693*796.3</f>
        <v>1348135.9</v>
      </c>
      <c r="H2157" s="1">
        <f>390*796.3</f>
        <v>310557</v>
      </c>
      <c r="I2157" s="1">
        <v>0</v>
      </c>
      <c r="J2157" s="1">
        <f>467*796.3</f>
        <v>371872.1</v>
      </c>
      <c r="K2157" s="1">
        <v>0</v>
      </c>
      <c r="L2157" s="2">
        <v>0</v>
      </c>
      <c r="M2157" s="1">
        <v>0</v>
      </c>
      <c r="N2157" s="1">
        <v>806</v>
      </c>
      <c r="O2157" s="1">
        <f t="shared" si="1208"/>
        <v>6246500</v>
      </c>
      <c r="P2157" s="1">
        <v>0</v>
      </c>
      <c r="Q2157" s="1">
        <f t="shared" si="1205"/>
        <v>0</v>
      </c>
      <c r="R2157" s="1">
        <v>533</v>
      </c>
      <c r="S2157" s="1">
        <f t="shared" si="1206"/>
        <v>1999283</v>
      </c>
      <c r="T2157" s="1">
        <v>0</v>
      </c>
      <c r="U2157" s="1">
        <v>50000</v>
      </c>
      <c r="V2157" s="1">
        <v>0</v>
      </c>
      <c r="W2157" s="1">
        <v>50000</v>
      </c>
      <c r="X2157" s="1">
        <v>0</v>
      </c>
      <c r="Y2157" s="1">
        <v>0</v>
      </c>
      <c r="Z2157" s="1">
        <v>0</v>
      </c>
      <c r="AA2157" s="1">
        <v>0</v>
      </c>
      <c r="AB2157" s="1">
        <v>0</v>
      </c>
      <c r="AC2157" s="1">
        <v>0</v>
      </c>
      <c r="AD2157" s="1">
        <v>0</v>
      </c>
    </row>
    <row r="2158" spans="1:30" s="20" customFormat="1" ht="36" customHeight="1" x14ac:dyDescent="0.25">
      <c r="A2158" s="2">
        <f t="shared" si="1207"/>
        <v>2083</v>
      </c>
      <c r="B2158" s="3">
        <f t="shared" si="1116"/>
        <v>2083</v>
      </c>
      <c r="C2158" s="19" t="s">
        <v>1296</v>
      </c>
      <c r="D2158" s="4">
        <f t="shared" si="1203"/>
        <v>7789093.1999999993</v>
      </c>
      <c r="E2158" s="1">
        <f t="shared" si="1204"/>
        <v>1921171.1999999997</v>
      </c>
      <c r="F2158" s="1">
        <f>804*572.8</f>
        <v>460531.19999999995</v>
      </c>
      <c r="G2158" s="1">
        <f>1693*572.8</f>
        <v>969750.39999999991</v>
      </c>
      <c r="H2158" s="1">
        <f>390*572.8</f>
        <v>223391.99999999997</v>
      </c>
      <c r="I2158" s="1">
        <v>0</v>
      </c>
      <c r="J2158" s="1">
        <f>467*572.8</f>
        <v>267497.59999999998</v>
      </c>
      <c r="K2158" s="1">
        <v>0</v>
      </c>
      <c r="L2158" s="2">
        <v>0</v>
      </c>
      <c r="M2158" s="1">
        <v>0</v>
      </c>
      <c r="N2158" s="1">
        <v>540</v>
      </c>
      <c r="O2158" s="1">
        <f t="shared" si="1208"/>
        <v>4185000</v>
      </c>
      <c r="P2158" s="1">
        <v>0</v>
      </c>
      <c r="Q2158" s="1">
        <f t="shared" si="1205"/>
        <v>0</v>
      </c>
      <c r="R2158" s="1">
        <v>422</v>
      </c>
      <c r="S2158" s="1">
        <f t="shared" si="1206"/>
        <v>1582922</v>
      </c>
      <c r="T2158" s="1">
        <v>0</v>
      </c>
      <c r="U2158" s="1">
        <v>50000</v>
      </c>
      <c r="V2158" s="1">
        <v>0</v>
      </c>
      <c r="W2158" s="1">
        <v>50000</v>
      </c>
      <c r="X2158" s="1">
        <v>0</v>
      </c>
      <c r="Y2158" s="1">
        <v>0</v>
      </c>
      <c r="Z2158" s="1">
        <v>0</v>
      </c>
      <c r="AA2158" s="1">
        <v>0</v>
      </c>
      <c r="AB2158" s="1">
        <v>0</v>
      </c>
      <c r="AC2158" s="1">
        <v>0</v>
      </c>
      <c r="AD2158" s="1">
        <v>0</v>
      </c>
    </row>
    <row r="2159" spans="1:30" s="20" customFormat="1" ht="36" customHeight="1" x14ac:dyDescent="0.25">
      <c r="A2159" s="2">
        <f t="shared" si="1207"/>
        <v>2084</v>
      </c>
      <c r="B2159" s="3">
        <f>A2159</f>
        <v>2084</v>
      </c>
      <c r="C2159" s="19" t="s">
        <v>1294</v>
      </c>
      <c r="D2159" s="4">
        <f t="shared" si="1203"/>
        <v>7789093.1999999993</v>
      </c>
      <c r="E2159" s="1">
        <f>SUM(F2159:K2159)</f>
        <v>1921171.1999999997</v>
      </c>
      <c r="F2159" s="1">
        <f>804*572.8</f>
        <v>460531.19999999995</v>
      </c>
      <c r="G2159" s="1">
        <f>1693*572.8</f>
        <v>969750.39999999991</v>
      </c>
      <c r="H2159" s="1">
        <f>390*572.8</f>
        <v>223391.99999999997</v>
      </c>
      <c r="I2159" s="1">
        <v>0</v>
      </c>
      <c r="J2159" s="1">
        <f>467*572.8</f>
        <v>267497.59999999998</v>
      </c>
      <c r="K2159" s="1">
        <v>0</v>
      </c>
      <c r="L2159" s="2">
        <v>0</v>
      </c>
      <c r="M2159" s="1">
        <v>0</v>
      </c>
      <c r="N2159" s="1">
        <v>540</v>
      </c>
      <c r="O2159" s="1">
        <f>N2159*7750</f>
        <v>4185000</v>
      </c>
      <c r="P2159" s="1">
        <v>0</v>
      </c>
      <c r="Q2159" s="1">
        <f>P2159*1400</f>
        <v>0</v>
      </c>
      <c r="R2159" s="1">
        <v>422</v>
      </c>
      <c r="S2159" s="1">
        <f>R2159*3751</f>
        <v>1582922</v>
      </c>
      <c r="T2159" s="1">
        <v>0</v>
      </c>
      <c r="U2159" s="1">
        <v>50000</v>
      </c>
      <c r="V2159" s="1">
        <v>0</v>
      </c>
      <c r="W2159" s="1">
        <v>50000</v>
      </c>
      <c r="X2159" s="1">
        <v>0</v>
      </c>
      <c r="Y2159" s="1">
        <v>0</v>
      </c>
      <c r="Z2159" s="1">
        <v>0</v>
      </c>
      <c r="AA2159" s="1">
        <v>0</v>
      </c>
      <c r="AB2159" s="1">
        <v>0</v>
      </c>
      <c r="AC2159" s="1">
        <v>0</v>
      </c>
      <c r="AD2159" s="1">
        <v>0</v>
      </c>
    </row>
    <row r="2160" spans="1:30" s="20" customFormat="1" ht="36" customHeight="1" x14ac:dyDescent="0.25">
      <c r="A2160" s="2">
        <f t="shared" si="1207"/>
        <v>2085</v>
      </c>
      <c r="B2160" s="3">
        <f t="shared" si="1116"/>
        <v>2085</v>
      </c>
      <c r="C2160" s="19" t="s">
        <v>1297</v>
      </c>
      <c r="D2160" s="4">
        <f t="shared" si="1203"/>
        <v>8193044.5999999996</v>
      </c>
      <c r="E2160" s="1">
        <f t="shared" si="1204"/>
        <v>2092560.5999999999</v>
      </c>
      <c r="F2160" s="1">
        <f>804*623.9</f>
        <v>501615.6</v>
      </c>
      <c r="G2160" s="1">
        <f>1693*623.9</f>
        <v>1056262.7</v>
      </c>
      <c r="H2160" s="1">
        <f>390*623.9</f>
        <v>243321</v>
      </c>
      <c r="I2160" s="1">
        <v>0</v>
      </c>
      <c r="J2160" s="1">
        <f>467*623.9</f>
        <v>291361.3</v>
      </c>
      <c r="K2160" s="1">
        <v>0</v>
      </c>
      <c r="L2160" s="2">
        <v>0</v>
      </c>
      <c r="M2160" s="1">
        <v>0</v>
      </c>
      <c r="N2160" s="1">
        <v>540</v>
      </c>
      <c r="O2160" s="1">
        <f t="shared" si="1208"/>
        <v>4185000</v>
      </c>
      <c r="P2160" s="1">
        <v>0</v>
      </c>
      <c r="Q2160" s="1">
        <f t="shared" si="1205"/>
        <v>0</v>
      </c>
      <c r="R2160" s="1">
        <v>484</v>
      </c>
      <c r="S2160" s="1">
        <f t="shared" si="1206"/>
        <v>1815484</v>
      </c>
      <c r="T2160" s="1">
        <v>0</v>
      </c>
      <c r="U2160" s="1">
        <v>50000</v>
      </c>
      <c r="V2160" s="1">
        <v>0</v>
      </c>
      <c r="W2160" s="1">
        <v>50000</v>
      </c>
      <c r="X2160" s="1">
        <v>0</v>
      </c>
      <c r="Y2160" s="1">
        <v>0</v>
      </c>
      <c r="Z2160" s="1">
        <v>0</v>
      </c>
      <c r="AA2160" s="1">
        <v>0</v>
      </c>
      <c r="AB2160" s="1">
        <v>0</v>
      </c>
      <c r="AC2160" s="1">
        <v>0</v>
      </c>
      <c r="AD2160" s="1">
        <v>0</v>
      </c>
    </row>
    <row r="2161" spans="1:30" s="20" customFormat="1" ht="36" customHeight="1" x14ac:dyDescent="0.25">
      <c r="A2161" s="2">
        <f t="shared" si="1207"/>
        <v>2086</v>
      </c>
      <c r="B2161" s="3">
        <f t="shared" ref="B2161" si="1209">A2161</f>
        <v>2086</v>
      </c>
      <c r="C2161" s="19" t="s">
        <v>2550</v>
      </c>
      <c r="D2161" s="4">
        <f t="shared" si="1203"/>
        <v>11837750</v>
      </c>
      <c r="E2161" s="1">
        <f t="shared" ref="E2161" si="1210">SUM(F2161:K2161)</f>
        <v>0</v>
      </c>
      <c r="F2161" s="1">
        <v>0</v>
      </c>
      <c r="G2161" s="1">
        <v>0</v>
      </c>
      <c r="H2161" s="1">
        <v>0</v>
      </c>
      <c r="I2161" s="1">
        <v>0</v>
      </c>
      <c r="J2161" s="1">
        <v>0</v>
      </c>
      <c r="K2161" s="1">
        <v>0</v>
      </c>
      <c r="L2161" s="2">
        <v>0</v>
      </c>
      <c r="M2161" s="1">
        <v>0</v>
      </c>
      <c r="N2161" s="1">
        <v>1521</v>
      </c>
      <c r="O2161" s="1">
        <f t="shared" si="1208"/>
        <v>11787750</v>
      </c>
      <c r="P2161" s="1">
        <v>0</v>
      </c>
      <c r="Q2161" s="1">
        <f t="shared" ref="Q2161" si="1211">P2161*1400</f>
        <v>0</v>
      </c>
      <c r="R2161" s="1">
        <v>0</v>
      </c>
      <c r="S2161" s="1">
        <f t="shared" ref="S2161" si="1212">R2161*3751</f>
        <v>0</v>
      </c>
      <c r="T2161" s="1">
        <v>0</v>
      </c>
      <c r="U2161" s="1">
        <v>0</v>
      </c>
      <c r="V2161" s="1">
        <v>0</v>
      </c>
      <c r="W2161" s="1">
        <v>50000</v>
      </c>
      <c r="X2161" s="1">
        <v>0</v>
      </c>
      <c r="Y2161" s="1">
        <v>0</v>
      </c>
      <c r="Z2161" s="1">
        <v>0</v>
      </c>
      <c r="AA2161" s="1">
        <v>0</v>
      </c>
      <c r="AB2161" s="1">
        <v>0</v>
      </c>
      <c r="AC2161" s="1">
        <v>0</v>
      </c>
      <c r="AD2161" s="1">
        <v>0</v>
      </c>
    </row>
    <row r="2162" spans="1:30" s="20" customFormat="1" ht="36" customHeight="1" x14ac:dyDescent="0.25">
      <c r="A2162" s="2">
        <f t="shared" si="1207"/>
        <v>2087</v>
      </c>
      <c r="B2162" s="3">
        <f t="shared" ref="B2162:B2168" si="1213">A2162</f>
        <v>2087</v>
      </c>
      <c r="C2162" s="19" t="s">
        <v>1300</v>
      </c>
      <c r="D2162" s="4">
        <f t="shared" si="1203"/>
        <v>9559726.5</v>
      </c>
      <c r="E2162" s="1">
        <f t="shared" si="1204"/>
        <v>1281461.5</v>
      </c>
      <c r="F2162" s="1">
        <f>804*771.5</f>
        <v>620286</v>
      </c>
      <c r="G2162" s="1">
        <v>0</v>
      </c>
      <c r="H2162" s="1">
        <f>390*771.5</f>
        <v>300885</v>
      </c>
      <c r="I2162" s="1">
        <v>0</v>
      </c>
      <c r="J2162" s="1">
        <f>467*771.5</f>
        <v>360290.5</v>
      </c>
      <c r="K2162" s="1">
        <v>0</v>
      </c>
      <c r="L2162" s="2">
        <v>0</v>
      </c>
      <c r="M2162" s="1">
        <v>0</v>
      </c>
      <c r="N2162" s="1">
        <v>806</v>
      </c>
      <c r="O2162" s="1">
        <f t="shared" si="1208"/>
        <v>6246500</v>
      </c>
      <c r="P2162" s="1">
        <v>0</v>
      </c>
      <c r="Q2162" s="1">
        <f t="shared" si="1205"/>
        <v>0</v>
      </c>
      <c r="R2162" s="1">
        <v>515</v>
      </c>
      <c r="S2162" s="1">
        <f t="shared" si="1206"/>
        <v>1931765</v>
      </c>
      <c r="T2162" s="1">
        <v>0</v>
      </c>
      <c r="U2162" s="1">
        <v>50000</v>
      </c>
      <c r="V2162" s="1">
        <v>0</v>
      </c>
      <c r="W2162" s="1">
        <v>50000</v>
      </c>
      <c r="X2162" s="1">
        <v>0</v>
      </c>
      <c r="Y2162" s="1">
        <v>0</v>
      </c>
      <c r="Z2162" s="1">
        <v>0</v>
      </c>
      <c r="AA2162" s="1">
        <v>0</v>
      </c>
      <c r="AB2162" s="1">
        <v>0</v>
      </c>
      <c r="AC2162" s="1">
        <v>0</v>
      </c>
      <c r="AD2162" s="1">
        <v>0</v>
      </c>
    </row>
    <row r="2163" spans="1:30" s="20" customFormat="1" ht="36" customHeight="1" x14ac:dyDescent="0.25">
      <c r="A2163" s="2">
        <f t="shared" si="1207"/>
        <v>2088</v>
      </c>
      <c r="B2163" s="3">
        <f t="shared" si="1213"/>
        <v>2088</v>
      </c>
      <c r="C2163" s="19" t="s">
        <v>1301</v>
      </c>
      <c r="D2163" s="4">
        <f t="shared" si="1203"/>
        <v>9560224.8000000007</v>
      </c>
      <c r="E2163" s="1">
        <f t="shared" si="1204"/>
        <v>1281959.7999999998</v>
      </c>
      <c r="F2163" s="1">
        <f>804*771.8</f>
        <v>620527.19999999995</v>
      </c>
      <c r="G2163" s="1">
        <v>0</v>
      </c>
      <c r="H2163" s="1">
        <f>390*771.8</f>
        <v>301002</v>
      </c>
      <c r="I2163" s="1">
        <v>0</v>
      </c>
      <c r="J2163" s="1">
        <f>467*771.8</f>
        <v>360430.6</v>
      </c>
      <c r="K2163" s="1">
        <v>0</v>
      </c>
      <c r="L2163" s="2">
        <v>0</v>
      </c>
      <c r="M2163" s="1">
        <v>0</v>
      </c>
      <c r="N2163" s="1">
        <v>806</v>
      </c>
      <c r="O2163" s="1">
        <f t="shared" si="1208"/>
        <v>6246500</v>
      </c>
      <c r="P2163" s="1">
        <v>0</v>
      </c>
      <c r="Q2163" s="1">
        <f t="shared" si="1205"/>
        <v>0</v>
      </c>
      <c r="R2163" s="1">
        <v>515</v>
      </c>
      <c r="S2163" s="1">
        <f t="shared" si="1206"/>
        <v>1931765</v>
      </c>
      <c r="T2163" s="1">
        <v>0</v>
      </c>
      <c r="U2163" s="1">
        <v>50000</v>
      </c>
      <c r="V2163" s="1">
        <v>0</v>
      </c>
      <c r="W2163" s="1">
        <v>50000</v>
      </c>
      <c r="X2163" s="1">
        <v>0</v>
      </c>
      <c r="Y2163" s="1">
        <v>0</v>
      </c>
      <c r="Z2163" s="1">
        <v>0</v>
      </c>
      <c r="AA2163" s="1">
        <v>0</v>
      </c>
      <c r="AB2163" s="1">
        <v>0</v>
      </c>
      <c r="AC2163" s="1">
        <v>0</v>
      </c>
      <c r="AD2163" s="1">
        <v>0</v>
      </c>
    </row>
    <row r="2164" spans="1:30" s="20" customFormat="1" ht="36" customHeight="1" x14ac:dyDescent="0.25">
      <c r="A2164" s="2">
        <f t="shared" si="1207"/>
        <v>2089</v>
      </c>
      <c r="B2164" s="3">
        <f t="shared" si="1213"/>
        <v>2089</v>
      </c>
      <c r="C2164" s="19" t="s">
        <v>1302</v>
      </c>
      <c r="D2164" s="4">
        <f t="shared" si="1203"/>
        <v>2186778.1</v>
      </c>
      <c r="E2164" s="1">
        <f t="shared" si="1204"/>
        <v>732667.10000000009</v>
      </c>
      <c r="F2164" s="1">
        <f>804*441.1</f>
        <v>354644.4</v>
      </c>
      <c r="G2164" s="1">
        <v>0</v>
      </c>
      <c r="H2164" s="1">
        <f>390*441.1</f>
        <v>172029</v>
      </c>
      <c r="I2164" s="1">
        <v>0</v>
      </c>
      <c r="J2164" s="1">
        <f>467*441.1</f>
        <v>205993.7</v>
      </c>
      <c r="K2164" s="1">
        <v>0</v>
      </c>
      <c r="L2164" s="2">
        <v>0</v>
      </c>
      <c r="M2164" s="1">
        <v>0</v>
      </c>
      <c r="N2164" s="1">
        <v>0</v>
      </c>
      <c r="O2164" s="1">
        <v>0</v>
      </c>
      <c r="P2164" s="1">
        <v>0</v>
      </c>
      <c r="Q2164" s="1">
        <f t="shared" si="1205"/>
        <v>0</v>
      </c>
      <c r="R2164" s="1">
        <v>361</v>
      </c>
      <c r="S2164" s="1">
        <f t="shared" si="1206"/>
        <v>1354111</v>
      </c>
      <c r="T2164" s="1">
        <v>0</v>
      </c>
      <c r="U2164" s="1">
        <v>50000</v>
      </c>
      <c r="V2164" s="1">
        <v>0</v>
      </c>
      <c r="W2164" s="1">
        <v>50000</v>
      </c>
      <c r="X2164" s="1">
        <v>0</v>
      </c>
      <c r="Y2164" s="1">
        <v>0</v>
      </c>
      <c r="Z2164" s="1">
        <v>0</v>
      </c>
      <c r="AA2164" s="1">
        <v>0</v>
      </c>
      <c r="AB2164" s="1">
        <v>0</v>
      </c>
      <c r="AC2164" s="1">
        <v>0</v>
      </c>
      <c r="AD2164" s="1">
        <v>0</v>
      </c>
    </row>
    <row r="2165" spans="1:30" s="20" customFormat="1" ht="36" customHeight="1" x14ac:dyDescent="0.25">
      <c r="A2165" s="2">
        <f t="shared" si="1207"/>
        <v>2090</v>
      </c>
      <c r="B2165" s="3">
        <f t="shared" si="1213"/>
        <v>2090</v>
      </c>
      <c r="C2165" s="19" t="s">
        <v>1303</v>
      </c>
      <c r="D2165" s="4">
        <f t="shared" si="1203"/>
        <v>9626238.4000000004</v>
      </c>
      <c r="E2165" s="1">
        <f t="shared" si="1204"/>
        <v>1277973.3999999999</v>
      </c>
      <c r="F2165" s="1">
        <f>804*769.4</f>
        <v>618597.6</v>
      </c>
      <c r="G2165" s="1">
        <v>0</v>
      </c>
      <c r="H2165" s="1">
        <f>390*769.4</f>
        <v>300066</v>
      </c>
      <c r="I2165" s="1">
        <v>0</v>
      </c>
      <c r="J2165" s="1">
        <f>467*769.4</f>
        <v>359309.8</v>
      </c>
      <c r="K2165" s="1">
        <v>0</v>
      </c>
      <c r="L2165" s="2">
        <v>0</v>
      </c>
      <c r="M2165" s="1">
        <v>0</v>
      </c>
      <c r="N2165" s="1">
        <v>806</v>
      </c>
      <c r="O2165" s="1">
        <f>N2165*7750</f>
        <v>6246500</v>
      </c>
      <c r="P2165" s="1">
        <v>50</v>
      </c>
      <c r="Q2165" s="1">
        <f t="shared" si="1205"/>
        <v>70000</v>
      </c>
      <c r="R2165" s="1">
        <v>515</v>
      </c>
      <c r="S2165" s="1">
        <f t="shared" si="1206"/>
        <v>1931765</v>
      </c>
      <c r="T2165" s="1">
        <v>0</v>
      </c>
      <c r="U2165" s="1">
        <v>50000</v>
      </c>
      <c r="V2165" s="1">
        <v>0</v>
      </c>
      <c r="W2165" s="1">
        <v>50000</v>
      </c>
      <c r="X2165" s="1">
        <v>0</v>
      </c>
      <c r="Y2165" s="1">
        <v>0</v>
      </c>
      <c r="Z2165" s="1">
        <v>0</v>
      </c>
      <c r="AA2165" s="1">
        <v>0</v>
      </c>
      <c r="AB2165" s="1">
        <v>0</v>
      </c>
      <c r="AC2165" s="1">
        <v>0</v>
      </c>
      <c r="AD2165" s="1">
        <v>0</v>
      </c>
    </row>
    <row r="2166" spans="1:30" s="20" customFormat="1" ht="36" customHeight="1" x14ac:dyDescent="0.25">
      <c r="A2166" s="2">
        <f t="shared" si="1207"/>
        <v>2091</v>
      </c>
      <c r="B2166" s="3">
        <f t="shared" ref="B2166" si="1214">A2166</f>
        <v>2091</v>
      </c>
      <c r="C2166" s="19" t="s">
        <v>1780</v>
      </c>
      <c r="D2166" s="4">
        <f t="shared" si="1203"/>
        <v>5514800</v>
      </c>
      <c r="E2166" s="1">
        <f t="shared" ref="E2166" si="1215">SUM(F2166:K2166)</f>
        <v>0</v>
      </c>
      <c r="F2166" s="1">
        <v>0</v>
      </c>
      <c r="G2166" s="1">
        <v>0</v>
      </c>
      <c r="H2166" s="1">
        <v>0</v>
      </c>
      <c r="I2166" s="1">
        <v>0</v>
      </c>
      <c r="J2166" s="1">
        <v>0</v>
      </c>
      <c r="K2166" s="1">
        <v>0</v>
      </c>
      <c r="L2166" s="2">
        <v>0</v>
      </c>
      <c r="M2166" s="1">
        <v>0</v>
      </c>
      <c r="N2166" s="1">
        <v>1100</v>
      </c>
      <c r="O2166" s="1">
        <f>N2166*4968</f>
        <v>5464800</v>
      </c>
      <c r="P2166" s="1">
        <v>0</v>
      </c>
      <c r="Q2166" s="1">
        <f t="shared" ref="Q2166" si="1216">P2166*1400</f>
        <v>0</v>
      </c>
      <c r="R2166" s="1">
        <v>0</v>
      </c>
      <c r="S2166" s="1">
        <f t="shared" ref="S2166" si="1217">R2166*3751</f>
        <v>0</v>
      </c>
      <c r="T2166" s="1">
        <v>0</v>
      </c>
      <c r="U2166" s="1">
        <v>0</v>
      </c>
      <c r="V2166" s="1">
        <v>0</v>
      </c>
      <c r="W2166" s="1">
        <v>50000</v>
      </c>
      <c r="X2166" s="1">
        <v>0</v>
      </c>
      <c r="Y2166" s="1">
        <v>0</v>
      </c>
      <c r="Z2166" s="1">
        <v>0</v>
      </c>
      <c r="AA2166" s="1">
        <v>0</v>
      </c>
      <c r="AB2166" s="1">
        <v>0</v>
      </c>
      <c r="AC2166" s="1">
        <v>0</v>
      </c>
      <c r="AD2166" s="1">
        <v>0</v>
      </c>
    </row>
    <row r="2167" spans="1:30" s="20" customFormat="1" ht="36" customHeight="1" x14ac:dyDescent="0.25">
      <c r="A2167" s="2">
        <f t="shared" si="1207"/>
        <v>2092</v>
      </c>
      <c r="B2167" s="3">
        <f t="shared" si="1213"/>
        <v>2092</v>
      </c>
      <c r="C2167" s="19" t="s">
        <v>1304</v>
      </c>
      <c r="D2167" s="4">
        <f t="shared" si="1203"/>
        <v>1822179.8</v>
      </c>
      <c r="E2167" s="1">
        <f t="shared" si="1204"/>
        <v>574373.80000000005</v>
      </c>
      <c r="F2167" s="1">
        <f>804*345.8</f>
        <v>278023.2</v>
      </c>
      <c r="G2167" s="1">
        <v>0</v>
      </c>
      <c r="H2167" s="1">
        <f>390*345.8</f>
        <v>134862</v>
      </c>
      <c r="I2167" s="1">
        <v>0</v>
      </c>
      <c r="J2167" s="1">
        <f>467*345.8</f>
        <v>161488.6</v>
      </c>
      <c r="K2167" s="1">
        <v>0</v>
      </c>
      <c r="L2167" s="2">
        <v>0</v>
      </c>
      <c r="M2167" s="1">
        <v>0</v>
      </c>
      <c r="N2167" s="1">
        <v>0</v>
      </c>
      <c r="O2167" s="1">
        <v>0</v>
      </c>
      <c r="P2167" s="1">
        <v>0</v>
      </c>
      <c r="Q2167" s="1">
        <f t="shared" si="1205"/>
        <v>0</v>
      </c>
      <c r="R2167" s="1">
        <v>306</v>
      </c>
      <c r="S2167" s="1">
        <f t="shared" si="1206"/>
        <v>1147806</v>
      </c>
      <c r="T2167" s="1">
        <v>0</v>
      </c>
      <c r="U2167" s="1">
        <v>50000</v>
      </c>
      <c r="V2167" s="1">
        <v>0</v>
      </c>
      <c r="W2167" s="1">
        <v>50000</v>
      </c>
      <c r="X2167" s="1">
        <v>0</v>
      </c>
      <c r="Y2167" s="1">
        <v>0</v>
      </c>
      <c r="Z2167" s="1">
        <v>0</v>
      </c>
      <c r="AA2167" s="1">
        <v>0</v>
      </c>
      <c r="AB2167" s="1">
        <v>0</v>
      </c>
      <c r="AC2167" s="1">
        <v>0</v>
      </c>
      <c r="AD2167" s="1">
        <v>0</v>
      </c>
    </row>
    <row r="2168" spans="1:30" s="20" customFormat="1" ht="36" customHeight="1" x14ac:dyDescent="0.25">
      <c r="A2168" s="2">
        <f t="shared" si="1207"/>
        <v>2093</v>
      </c>
      <c r="B2168" s="3">
        <f t="shared" si="1213"/>
        <v>2093</v>
      </c>
      <c r="C2168" s="19" t="s">
        <v>1305</v>
      </c>
      <c r="D2168" s="4">
        <f t="shared" si="1203"/>
        <v>9605514</v>
      </c>
      <c r="E2168" s="1">
        <f t="shared" si="1204"/>
        <v>1297241</v>
      </c>
      <c r="F2168" s="1">
        <f>804*781</f>
        <v>627924</v>
      </c>
      <c r="G2168" s="1">
        <v>0</v>
      </c>
      <c r="H2168" s="1">
        <f>390*781</f>
        <v>304590</v>
      </c>
      <c r="I2168" s="1">
        <v>0</v>
      </c>
      <c r="J2168" s="1">
        <f>467*781</f>
        <v>364727</v>
      </c>
      <c r="K2168" s="1">
        <v>0</v>
      </c>
      <c r="L2168" s="2">
        <v>0</v>
      </c>
      <c r="M2168" s="1">
        <v>0</v>
      </c>
      <c r="N2168" s="1">
        <v>806</v>
      </c>
      <c r="O2168" s="1">
        <f>N2168*7750</f>
        <v>6246500</v>
      </c>
      <c r="P2168" s="1">
        <v>0</v>
      </c>
      <c r="Q2168" s="1">
        <f t="shared" si="1205"/>
        <v>0</v>
      </c>
      <c r="R2168" s="1">
        <v>523</v>
      </c>
      <c r="S2168" s="1">
        <f t="shared" si="1206"/>
        <v>1961773</v>
      </c>
      <c r="T2168" s="1">
        <v>0</v>
      </c>
      <c r="U2168" s="1">
        <v>50000</v>
      </c>
      <c r="V2168" s="1">
        <v>0</v>
      </c>
      <c r="W2168" s="1">
        <v>50000</v>
      </c>
      <c r="X2168" s="1">
        <v>0</v>
      </c>
      <c r="Y2168" s="1">
        <v>0</v>
      </c>
      <c r="Z2168" s="1">
        <v>0</v>
      </c>
      <c r="AA2168" s="1">
        <v>0</v>
      </c>
      <c r="AB2168" s="1">
        <v>0</v>
      </c>
      <c r="AC2168" s="1">
        <v>0</v>
      </c>
      <c r="AD2168" s="1">
        <v>0</v>
      </c>
    </row>
    <row r="2169" spans="1:30" s="20" customFormat="1" ht="54.95" customHeight="1" x14ac:dyDescent="0.25">
      <c r="A2169" s="3"/>
      <c r="B2169" s="47" t="s">
        <v>1975</v>
      </c>
      <c r="C2169" s="48"/>
      <c r="D2169" s="4">
        <f>SUM(D2170:D2187)</f>
        <v>66513393.350000009</v>
      </c>
      <c r="E2169" s="4">
        <f t="shared" ref="E2169:AD2169" si="1218">SUM(E2170:E2187)</f>
        <v>28179075.349999998</v>
      </c>
      <c r="F2169" s="4">
        <f t="shared" si="1218"/>
        <v>9267587.4000000022</v>
      </c>
      <c r="G2169" s="4">
        <f t="shared" si="1218"/>
        <v>11011779.9</v>
      </c>
      <c r="H2169" s="4">
        <f t="shared" si="1218"/>
        <v>3741211.5</v>
      </c>
      <c r="I2169" s="4">
        <f t="shared" si="1218"/>
        <v>304228.8</v>
      </c>
      <c r="J2169" s="4">
        <f t="shared" si="1218"/>
        <v>3854267.75</v>
      </c>
      <c r="K2169" s="4">
        <f t="shared" si="1218"/>
        <v>0</v>
      </c>
      <c r="L2169" s="17">
        <f t="shared" si="1218"/>
        <v>0</v>
      </c>
      <c r="M2169" s="4">
        <f t="shared" si="1218"/>
        <v>0</v>
      </c>
      <c r="N2169" s="4">
        <f t="shared" si="1218"/>
        <v>2147</v>
      </c>
      <c r="O2169" s="4">
        <f t="shared" si="1218"/>
        <v>15799086</v>
      </c>
      <c r="P2169" s="4">
        <f t="shared" si="1218"/>
        <v>150</v>
      </c>
      <c r="Q2169" s="4">
        <f t="shared" si="1218"/>
        <v>210000</v>
      </c>
      <c r="R2169" s="4">
        <f t="shared" si="1218"/>
        <v>5232</v>
      </c>
      <c r="S2169" s="4">
        <f t="shared" si="1218"/>
        <v>19625232</v>
      </c>
      <c r="T2169" s="4">
        <f t="shared" si="1218"/>
        <v>1200000</v>
      </c>
      <c r="U2169" s="4">
        <f t="shared" si="1218"/>
        <v>900000</v>
      </c>
      <c r="V2169" s="4">
        <f t="shared" si="1218"/>
        <v>0</v>
      </c>
      <c r="W2169" s="4">
        <f t="shared" si="1218"/>
        <v>600000</v>
      </c>
      <c r="X2169" s="4">
        <f t="shared" si="1218"/>
        <v>0</v>
      </c>
      <c r="Y2169" s="4">
        <f t="shared" si="1218"/>
        <v>0</v>
      </c>
      <c r="Z2169" s="4">
        <f t="shared" si="1218"/>
        <v>0</v>
      </c>
      <c r="AA2169" s="4">
        <f t="shared" si="1218"/>
        <v>0</v>
      </c>
      <c r="AB2169" s="4">
        <f t="shared" si="1218"/>
        <v>0</v>
      </c>
      <c r="AC2169" s="4">
        <f t="shared" si="1218"/>
        <v>0</v>
      </c>
      <c r="AD2169" s="4">
        <f t="shared" si="1218"/>
        <v>0</v>
      </c>
    </row>
    <row r="2170" spans="1:30" s="20" customFormat="1" ht="36" customHeight="1" x14ac:dyDescent="0.25">
      <c r="A2170" s="2">
        <f>ROW()-ROW($A$11)-65</f>
        <v>2094</v>
      </c>
      <c r="B2170" s="3">
        <f t="shared" ref="B2170" si="1219">A2170</f>
        <v>2094</v>
      </c>
      <c r="C2170" s="19" t="s">
        <v>2072</v>
      </c>
      <c r="D2170" s="4">
        <f t="shared" ref="D2170:D2187" si="1220">E2170+M2170+O2170+Q2170+S2170+T2170+U2170+V2170+W2170+X2170+Z2170+AA2170+AB2170+AC2170+AD2170</f>
        <v>4774378</v>
      </c>
      <c r="E2170" s="1">
        <f t="shared" ref="E2170" si="1221">SUM(F2170:K2170)</f>
        <v>2091240</v>
      </c>
      <c r="F2170" s="1">
        <f>804*532.8</f>
        <v>428371.19999999995</v>
      </c>
      <c r="G2170" s="1">
        <f>1693*532.8</f>
        <v>902030.39999999991</v>
      </c>
      <c r="H2170" s="1">
        <f>390*532.8</f>
        <v>207791.99999999997</v>
      </c>
      <c r="I2170" s="1">
        <f>571*532.8</f>
        <v>304228.8</v>
      </c>
      <c r="J2170" s="1">
        <f>467*532.8</f>
        <v>248817.59999999998</v>
      </c>
      <c r="K2170" s="1">
        <v>0</v>
      </c>
      <c r="L2170" s="2">
        <v>0</v>
      </c>
      <c r="M2170" s="1">
        <v>0</v>
      </c>
      <c r="N2170" s="1">
        <v>302</v>
      </c>
      <c r="O2170" s="1">
        <f>N2170*4968</f>
        <v>1500336</v>
      </c>
      <c r="P2170" s="1">
        <v>0</v>
      </c>
      <c r="Q2170" s="1">
        <f t="shared" ref="Q2170" si="1222">P2170*1400</f>
        <v>0</v>
      </c>
      <c r="R2170" s="1">
        <v>302</v>
      </c>
      <c r="S2170" s="1">
        <f t="shared" ref="S2170" si="1223">R2170*3751</f>
        <v>1132802</v>
      </c>
      <c r="T2170" s="1">
        <v>0</v>
      </c>
      <c r="U2170" s="1">
        <v>50000</v>
      </c>
      <c r="V2170" s="1">
        <v>0</v>
      </c>
      <c r="W2170" s="1">
        <v>0</v>
      </c>
      <c r="X2170" s="1">
        <v>0</v>
      </c>
      <c r="Y2170" s="1">
        <v>0</v>
      </c>
      <c r="Z2170" s="1">
        <v>0</v>
      </c>
      <c r="AA2170" s="1">
        <v>0</v>
      </c>
      <c r="AB2170" s="1">
        <v>0</v>
      </c>
      <c r="AC2170" s="1">
        <v>0</v>
      </c>
      <c r="AD2170" s="1">
        <v>0</v>
      </c>
    </row>
    <row r="2171" spans="1:30" s="20" customFormat="1" ht="36" customHeight="1" x14ac:dyDescent="0.25">
      <c r="A2171" s="2">
        <f t="shared" ref="A2171:A2187" si="1224">ROW()-ROW($A$11)-65</f>
        <v>2095</v>
      </c>
      <c r="B2171" s="3">
        <f>A2171</f>
        <v>2095</v>
      </c>
      <c r="C2171" s="19" t="s">
        <v>1306</v>
      </c>
      <c r="D2171" s="4">
        <f t="shared" si="1220"/>
        <v>3779678</v>
      </c>
      <c r="E2171" s="1">
        <f>SUM(F2171:K2171)</f>
        <v>266928</v>
      </c>
      <c r="F2171" s="1">
        <f>804*332</f>
        <v>266928</v>
      </c>
      <c r="G2171" s="1">
        <v>0</v>
      </c>
      <c r="H2171" s="1">
        <v>0</v>
      </c>
      <c r="I2171" s="1">
        <v>0</v>
      </c>
      <c r="J2171" s="1">
        <v>0</v>
      </c>
      <c r="K2171" s="1">
        <v>0</v>
      </c>
      <c r="L2171" s="2">
        <v>0</v>
      </c>
      <c r="M2171" s="1">
        <v>0</v>
      </c>
      <c r="N2171" s="1">
        <v>300</v>
      </c>
      <c r="O2171" s="1">
        <f>N2171*7750</f>
        <v>2325000</v>
      </c>
      <c r="P2171" s="1">
        <v>0</v>
      </c>
      <c r="Q2171" s="1">
        <f>P2171*1400</f>
        <v>0</v>
      </c>
      <c r="R2171" s="1">
        <v>250</v>
      </c>
      <c r="S2171" s="1">
        <f>R2171*3751</f>
        <v>937750</v>
      </c>
      <c r="T2171" s="1">
        <v>150000</v>
      </c>
      <c r="U2171" s="1">
        <v>50000</v>
      </c>
      <c r="V2171" s="1">
        <v>0</v>
      </c>
      <c r="W2171" s="1">
        <v>50000</v>
      </c>
      <c r="X2171" s="1">
        <v>0</v>
      </c>
      <c r="Y2171" s="1">
        <v>0</v>
      </c>
      <c r="Z2171" s="1">
        <v>0</v>
      </c>
      <c r="AA2171" s="1">
        <v>0</v>
      </c>
      <c r="AB2171" s="1">
        <v>0</v>
      </c>
      <c r="AC2171" s="1">
        <v>0</v>
      </c>
      <c r="AD2171" s="1">
        <v>0</v>
      </c>
    </row>
    <row r="2172" spans="1:30" s="20" customFormat="1" ht="36" customHeight="1" x14ac:dyDescent="0.25">
      <c r="A2172" s="2">
        <f t="shared" si="1224"/>
        <v>2096</v>
      </c>
      <c r="B2172" s="3">
        <f t="shared" ref="B2172" si="1225">A2172</f>
        <v>2096</v>
      </c>
      <c r="C2172" s="19" t="s">
        <v>2071</v>
      </c>
      <c r="D2172" s="4">
        <f t="shared" si="1220"/>
        <v>387680</v>
      </c>
      <c r="E2172" s="1">
        <f t="shared" ref="E2172" si="1226">SUM(F2172:K2172)</f>
        <v>337680</v>
      </c>
      <c r="F2172" s="1">
        <f>804*420</f>
        <v>337680</v>
      </c>
      <c r="G2172" s="1">
        <v>0</v>
      </c>
      <c r="H2172" s="1">
        <v>0</v>
      </c>
      <c r="I2172" s="1">
        <v>0</v>
      </c>
      <c r="J2172" s="1">
        <v>0</v>
      </c>
      <c r="K2172" s="1">
        <v>0</v>
      </c>
      <c r="L2172" s="2">
        <v>0</v>
      </c>
      <c r="M2172" s="1">
        <v>0</v>
      </c>
      <c r="N2172" s="1">
        <v>0</v>
      </c>
      <c r="O2172" s="1">
        <v>0</v>
      </c>
      <c r="P2172" s="1">
        <v>0</v>
      </c>
      <c r="Q2172" s="1">
        <f t="shared" ref="Q2172" si="1227">P2172*1400</f>
        <v>0</v>
      </c>
      <c r="R2172" s="1">
        <v>0</v>
      </c>
      <c r="S2172" s="1">
        <f t="shared" ref="S2172" si="1228">R2172*3751</f>
        <v>0</v>
      </c>
      <c r="T2172" s="1">
        <v>0</v>
      </c>
      <c r="U2172" s="1">
        <v>50000</v>
      </c>
      <c r="V2172" s="1">
        <v>0</v>
      </c>
      <c r="W2172" s="1">
        <v>0</v>
      </c>
      <c r="X2172" s="1">
        <v>0</v>
      </c>
      <c r="Y2172" s="1">
        <v>0</v>
      </c>
      <c r="Z2172" s="1">
        <v>0</v>
      </c>
      <c r="AA2172" s="1">
        <v>0</v>
      </c>
      <c r="AB2172" s="1">
        <v>0</v>
      </c>
      <c r="AC2172" s="1">
        <v>0</v>
      </c>
      <c r="AD2172" s="1">
        <v>0</v>
      </c>
    </row>
    <row r="2173" spans="1:30" s="20" customFormat="1" ht="36" customHeight="1" x14ac:dyDescent="0.25">
      <c r="A2173" s="2">
        <f t="shared" si="1224"/>
        <v>2097</v>
      </c>
      <c r="B2173" s="3">
        <f t="shared" ref="B2173:B2175" si="1229">A2173</f>
        <v>2097</v>
      </c>
      <c r="C2173" s="19" t="s">
        <v>2070</v>
      </c>
      <c r="D2173" s="4">
        <f t="shared" si="1220"/>
        <v>4725692.4000000004</v>
      </c>
      <c r="E2173" s="1">
        <f t="shared" ref="E2173:E2175" si="1230">SUM(F2173:K2173)</f>
        <v>334142.40000000002</v>
      </c>
      <c r="F2173" s="1">
        <f>804*415.6</f>
        <v>334142.40000000002</v>
      </c>
      <c r="G2173" s="1">
        <v>0</v>
      </c>
      <c r="H2173" s="1">
        <v>0</v>
      </c>
      <c r="I2173" s="1">
        <v>0</v>
      </c>
      <c r="J2173" s="1">
        <v>0</v>
      </c>
      <c r="K2173" s="1">
        <v>0</v>
      </c>
      <c r="L2173" s="2">
        <v>0</v>
      </c>
      <c r="M2173" s="1">
        <v>0</v>
      </c>
      <c r="N2173" s="1">
        <v>415</v>
      </c>
      <c r="O2173" s="1">
        <f>N2173*7750</f>
        <v>3216250</v>
      </c>
      <c r="P2173" s="1">
        <v>0</v>
      </c>
      <c r="Q2173" s="1">
        <f t="shared" ref="Q2173:Q2175" si="1231">P2173*1400</f>
        <v>0</v>
      </c>
      <c r="R2173" s="1">
        <v>300</v>
      </c>
      <c r="S2173" s="1">
        <f t="shared" ref="S2173:S2175" si="1232">R2173*3751</f>
        <v>1125300</v>
      </c>
      <c r="T2173" s="1">
        <v>0</v>
      </c>
      <c r="U2173" s="1">
        <v>50000</v>
      </c>
      <c r="V2173" s="1">
        <v>0</v>
      </c>
      <c r="W2173" s="1">
        <v>0</v>
      </c>
      <c r="X2173" s="1">
        <v>0</v>
      </c>
      <c r="Y2173" s="1">
        <v>0</v>
      </c>
      <c r="Z2173" s="1">
        <v>0</v>
      </c>
      <c r="AA2173" s="1">
        <v>0</v>
      </c>
      <c r="AB2173" s="1">
        <v>0</v>
      </c>
      <c r="AC2173" s="1">
        <v>0</v>
      </c>
      <c r="AD2173" s="1">
        <v>0</v>
      </c>
    </row>
    <row r="2174" spans="1:30" s="20" customFormat="1" ht="36" customHeight="1" x14ac:dyDescent="0.25">
      <c r="A2174" s="2">
        <f t="shared" si="1224"/>
        <v>2098</v>
      </c>
      <c r="B2174" s="6">
        <f t="shared" si="1229"/>
        <v>2098</v>
      </c>
      <c r="C2174" s="19" t="s">
        <v>2073</v>
      </c>
      <c r="D2174" s="4">
        <f t="shared" si="1220"/>
        <v>1702664</v>
      </c>
      <c r="E2174" s="1">
        <f t="shared" si="1230"/>
        <v>302304</v>
      </c>
      <c r="F2174" s="7">
        <f>804*376</f>
        <v>302304</v>
      </c>
      <c r="G2174" s="7">
        <v>0</v>
      </c>
      <c r="H2174" s="7">
        <v>0</v>
      </c>
      <c r="I2174" s="1">
        <v>0</v>
      </c>
      <c r="J2174" s="7">
        <v>0</v>
      </c>
      <c r="K2174" s="1">
        <v>0</v>
      </c>
      <c r="L2174" s="2">
        <v>0</v>
      </c>
      <c r="M2174" s="1">
        <v>0</v>
      </c>
      <c r="N2174" s="1">
        <v>0</v>
      </c>
      <c r="O2174" s="1">
        <v>0</v>
      </c>
      <c r="P2174" s="1">
        <v>0</v>
      </c>
      <c r="Q2174" s="1">
        <f t="shared" si="1231"/>
        <v>0</v>
      </c>
      <c r="R2174" s="1">
        <v>360</v>
      </c>
      <c r="S2174" s="1">
        <f t="shared" si="1232"/>
        <v>1350360</v>
      </c>
      <c r="T2174" s="1">
        <v>0</v>
      </c>
      <c r="U2174" s="1">
        <v>50000</v>
      </c>
      <c r="V2174" s="1">
        <v>0</v>
      </c>
      <c r="W2174" s="1">
        <v>0</v>
      </c>
      <c r="X2174" s="1">
        <v>0</v>
      </c>
      <c r="Y2174" s="1">
        <v>0</v>
      </c>
      <c r="Z2174" s="1">
        <v>0</v>
      </c>
      <c r="AA2174" s="1">
        <v>0</v>
      </c>
      <c r="AB2174" s="1">
        <v>0</v>
      </c>
      <c r="AC2174" s="1">
        <v>0</v>
      </c>
      <c r="AD2174" s="1">
        <v>0</v>
      </c>
    </row>
    <row r="2175" spans="1:30" s="20" customFormat="1" ht="36" customHeight="1" x14ac:dyDescent="0.25">
      <c r="A2175" s="2">
        <f t="shared" si="1224"/>
        <v>2099</v>
      </c>
      <c r="B2175" s="6">
        <f t="shared" si="1229"/>
        <v>2099</v>
      </c>
      <c r="C2175" s="19" t="s">
        <v>2074</v>
      </c>
      <c r="D2175" s="4">
        <f t="shared" si="1220"/>
        <v>1579205.6</v>
      </c>
      <c r="E2175" s="1">
        <f t="shared" si="1230"/>
        <v>313881.59999999998</v>
      </c>
      <c r="F2175" s="7">
        <f>804*390.4</f>
        <v>313881.59999999998</v>
      </c>
      <c r="G2175" s="7">
        <v>0</v>
      </c>
      <c r="H2175" s="7">
        <v>0</v>
      </c>
      <c r="I2175" s="1">
        <v>0</v>
      </c>
      <c r="J2175" s="7">
        <v>0</v>
      </c>
      <c r="K2175" s="1">
        <v>0</v>
      </c>
      <c r="L2175" s="2">
        <v>0</v>
      </c>
      <c r="M2175" s="1">
        <v>0</v>
      </c>
      <c r="N2175" s="1">
        <v>0</v>
      </c>
      <c r="O2175" s="1">
        <v>0</v>
      </c>
      <c r="P2175" s="1">
        <v>0</v>
      </c>
      <c r="Q2175" s="1">
        <f t="shared" si="1231"/>
        <v>0</v>
      </c>
      <c r="R2175" s="1">
        <v>324</v>
      </c>
      <c r="S2175" s="1">
        <f t="shared" si="1232"/>
        <v>1215324</v>
      </c>
      <c r="T2175" s="1">
        <v>0</v>
      </c>
      <c r="U2175" s="1">
        <v>50000</v>
      </c>
      <c r="V2175" s="1">
        <v>0</v>
      </c>
      <c r="W2175" s="1">
        <v>0</v>
      </c>
      <c r="X2175" s="1">
        <v>0</v>
      </c>
      <c r="Y2175" s="1">
        <v>0</v>
      </c>
      <c r="Z2175" s="1">
        <v>0</v>
      </c>
      <c r="AA2175" s="1">
        <v>0</v>
      </c>
      <c r="AB2175" s="1">
        <v>0</v>
      </c>
      <c r="AC2175" s="1">
        <v>0</v>
      </c>
      <c r="AD2175" s="1">
        <v>0</v>
      </c>
    </row>
    <row r="2176" spans="1:30" s="20" customFormat="1" ht="36" customHeight="1" x14ac:dyDescent="0.25">
      <c r="A2176" s="2">
        <f t="shared" si="1224"/>
        <v>2100</v>
      </c>
      <c r="B2176" s="3">
        <f t="shared" ref="B2176" si="1233">A2176</f>
        <v>2100</v>
      </c>
      <c r="C2176" s="19" t="s">
        <v>1307</v>
      </c>
      <c r="D2176" s="4">
        <f t="shared" si="1220"/>
        <v>3297846.1999999997</v>
      </c>
      <c r="E2176" s="1">
        <f t="shared" ref="E2176" si="1234">SUM(F2176:K2176)</f>
        <v>2147566.1999999997</v>
      </c>
      <c r="F2176" s="1">
        <f>804*640.3</f>
        <v>514801.19999999995</v>
      </c>
      <c r="G2176" s="1">
        <f>1693*640.3</f>
        <v>1084027.8999999999</v>
      </c>
      <c r="H2176" s="1">
        <f>390*640.3</f>
        <v>249716.99999999997</v>
      </c>
      <c r="I2176" s="1">
        <v>0</v>
      </c>
      <c r="J2176" s="1">
        <f>467*640.3</f>
        <v>299020.09999999998</v>
      </c>
      <c r="K2176" s="1">
        <v>0</v>
      </c>
      <c r="L2176" s="2">
        <v>0</v>
      </c>
      <c r="M2176" s="1">
        <v>0</v>
      </c>
      <c r="N2176" s="1">
        <v>0</v>
      </c>
      <c r="O2176" s="1">
        <v>0</v>
      </c>
      <c r="P2176" s="1">
        <v>0</v>
      </c>
      <c r="Q2176" s="1">
        <f t="shared" ref="Q2176" si="1235">P2176*1400</f>
        <v>0</v>
      </c>
      <c r="R2176" s="1">
        <v>280</v>
      </c>
      <c r="S2176" s="1">
        <f t="shared" ref="S2176" si="1236">R2176*3751</f>
        <v>1050280</v>
      </c>
      <c r="T2176" s="1">
        <v>0</v>
      </c>
      <c r="U2176" s="1">
        <v>50000</v>
      </c>
      <c r="V2176" s="1">
        <v>0</v>
      </c>
      <c r="W2176" s="1">
        <v>50000</v>
      </c>
      <c r="X2176" s="1">
        <v>0</v>
      </c>
      <c r="Y2176" s="1">
        <v>0</v>
      </c>
      <c r="Z2176" s="1">
        <v>0</v>
      </c>
      <c r="AA2176" s="1">
        <v>0</v>
      </c>
      <c r="AB2176" s="1">
        <v>0</v>
      </c>
      <c r="AC2176" s="1">
        <v>0</v>
      </c>
      <c r="AD2176" s="1">
        <v>0</v>
      </c>
    </row>
    <row r="2177" spans="1:30" s="20" customFormat="1" ht="36" customHeight="1" x14ac:dyDescent="0.25">
      <c r="A2177" s="2">
        <f t="shared" si="1224"/>
        <v>2101</v>
      </c>
      <c r="B2177" s="3">
        <f t="shared" ref="B2177:B2240" si="1237">A2177</f>
        <v>2101</v>
      </c>
      <c r="C2177" s="19" t="s">
        <v>2068</v>
      </c>
      <c r="D2177" s="4">
        <f t="shared" si="1220"/>
        <v>11818327.550000001</v>
      </c>
      <c r="E2177" s="1">
        <f t="shared" ref="E2177:E2187" si="1238">SUM(F2177:K2177)</f>
        <v>1957571.5499999998</v>
      </c>
      <c r="F2177" s="1">
        <f>804*1178.55</f>
        <v>947554.2</v>
      </c>
      <c r="G2177" s="1">
        <v>0</v>
      </c>
      <c r="H2177" s="1">
        <f>390*1178.55</f>
        <v>459634.5</v>
      </c>
      <c r="I2177" s="1">
        <v>0</v>
      </c>
      <c r="J2177" s="1">
        <f>467*1178.55</f>
        <v>550382.85</v>
      </c>
      <c r="K2177" s="1">
        <v>0</v>
      </c>
      <c r="L2177" s="2">
        <v>0</v>
      </c>
      <c r="M2177" s="1">
        <v>0</v>
      </c>
      <c r="N2177" s="1">
        <v>900</v>
      </c>
      <c r="O2177" s="1">
        <f>N2177*7750</f>
        <v>6975000</v>
      </c>
      <c r="P2177" s="1">
        <v>0</v>
      </c>
      <c r="Q2177" s="1">
        <f t="shared" si="1205"/>
        <v>0</v>
      </c>
      <c r="R2177" s="1">
        <v>756</v>
      </c>
      <c r="S2177" s="1">
        <f t="shared" si="1206"/>
        <v>2835756</v>
      </c>
      <c r="T2177" s="1">
        <v>0</v>
      </c>
      <c r="U2177" s="1">
        <v>50000</v>
      </c>
      <c r="V2177" s="1">
        <v>0</v>
      </c>
      <c r="W2177" s="1">
        <v>0</v>
      </c>
      <c r="X2177" s="1">
        <v>0</v>
      </c>
      <c r="Y2177" s="1">
        <v>0</v>
      </c>
      <c r="Z2177" s="1">
        <v>0</v>
      </c>
      <c r="AA2177" s="1">
        <v>0</v>
      </c>
      <c r="AB2177" s="1">
        <v>0</v>
      </c>
      <c r="AC2177" s="1">
        <v>0</v>
      </c>
      <c r="AD2177" s="1">
        <v>0</v>
      </c>
    </row>
    <row r="2178" spans="1:30" s="20" customFormat="1" ht="36" customHeight="1" x14ac:dyDescent="0.25">
      <c r="A2178" s="2">
        <f t="shared" si="1224"/>
        <v>2102</v>
      </c>
      <c r="B2178" s="3">
        <f t="shared" si="1237"/>
        <v>2102</v>
      </c>
      <c r="C2178" s="19" t="s">
        <v>1308</v>
      </c>
      <c r="D2178" s="4">
        <f t="shared" si="1220"/>
        <v>2228959.4</v>
      </c>
      <c r="E2178" s="1">
        <f t="shared" si="1238"/>
        <v>947434.39999999991</v>
      </c>
      <c r="F2178" s="1">
        <f>804*570.4</f>
        <v>458601.6</v>
      </c>
      <c r="G2178" s="1">
        <v>0</v>
      </c>
      <c r="H2178" s="1">
        <f>390*570.4</f>
        <v>222456</v>
      </c>
      <c r="I2178" s="1">
        <v>0</v>
      </c>
      <c r="J2178" s="1">
        <f>467*570.4</f>
        <v>266376.8</v>
      </c>
      <c r="K2178" s="1">
        <v>0</v>
      </c>
      <c r="L2178" s="2">
        <v>0</v>
      </c>
      <c r="M2178" s="1">
        <v>0</v>
      </c>
      <c r="N2178" s="1">
        <v>0</v>
      </c>
      <c r="O2178" s="1">
        <v>0</v>
      </c>
      <c r="P2178" s="1">
        <v>0</v>
      </c>
      <c r="Q2178" s="1">
        <f t="shared" si="1205"/>
        <v>0</v>
      </c>
      <c r="R2178" s="1">
        <v>275</v>
      </c>
      <c r="S2178" s="1">
        <f t="shared" si="1206"/>
        <v>1031525</v>
      </c>
      <c r="T2178" s="1">
        <v>150000</v>
      </c>
      <c r="U2178" s="1">
        <v>50000</v>
      </c>
      <c r="V2178" s="1">
        <v>0</v>
      </c>
      <c r="W2178" s="1">
        <v>50000</v>
      </c>
      <c r="X2178" s="1">
        <v>0</v>
      </c>
      <c r="Y2178" s="1">
        <v>0</v>
      </c>
      <c r="Z2178" s="1">
        <v>0</v>
      </c>
      <c r="AA2178" s="1">
        <v>0</v>
      </c>
      <c r="AB2178" s="1">
        <v>0</v>
      </c>
      <c r="AC2178" s="1">
        <v>0</v>
      </c>
      <c r="AD2178" s="1">
        <v>0</v>
      </c>
    </row>
    <row r="2179" spans="1:30" s="20" customFormat="1" ht="36" customHeight="1" x14ac:dyDescent="0.25">
      <c r="A2179" s="2">
        <f t="shared" si="1224"/>
        <v>2103</v>
      </c>
      <c r="B2179" s="3">
        <f t="shared" si="1237"/>
        <v>2103</v>
      </c>
      <c r="C2179" s="19" t="s">
        <v>1309</v>
      </c>
      <c r="D2179" s="4">
        <f t="shared" si="1220"/>
        <v>3810464.5999999996</v>
      </c>
      <c r="E2179" s="1">
        <f t="shared" si="1238"/>
        <v>2515164.5999999996</v>
      </c>
      <c r="F2179" s="1">
        <f>804*749.9</f>
        <v>602919.6</v>
      </c>
      <c r="G2179" s="1">
        <f>1693*749.9</f>
        <v>1269580.7</v>
      </c>
      <c r="H2179" s="1">
        <f>390*749.9</f>
        <v>292461</v>
      </c>
      <c r="I2179" s="1">
        <v>0</v>
      </c>
      <c r="J2179" s="1">
        <f>467*749.9</f>
        <v>350203.3</v>
      </c>
      <c r="K2179" s="1">
        <v>0</v>
      </c>
      <c r="L2179" s="2">
        <v>0</v>
      </c>
      <c r="M2179" s="1">
        <v>0</v>
      </c>
      <c r="N2179" s="1">
        <v>0</v>
      </c>
      <c r="O2179" s="1">
        <v>0</v>
      </c>
      <c r="P2179" s="1">
        <v>50</v>
      </c>
      <c r="Q2179" s="1">
        <f t="shared" si="1205"/>
        <v>70000</v>
      </c>
      <c r="R2179" s="1">
        <v>300</v>
      </c>
      <c r="S2179" s="1">
        <f t="shared" si="1206"/>
        <v>1125300</v>
      </c>
      <c r="T2179" s="1">
        <v>0</v>
      </c>
      <c r="U2179" s="1">
        <v>50000</v>
      </c>
      <c r="V2179" s="1">
        <v>0</v>
      </c>
      <c r="W2179" s="1">
        <v>50000</v>
      </c>
      <c r="X2179" s="1">
        <v>0</v>
      </c>
      <c r="Y2179" s="1">
        <v>0</v>
      </c>
      <c r="Z2179" s="1">
        <v>0</v>
      </c>
      <c r="AA2179" s="1">
        <v>0</v>
      </c>
      <c r="AB2179" s="1">
        <v>0</v>
      </c>
      <c r="AC2179" s="1">
        <v>0</v>
      </c>
      <c r="AD2179" s="1">
        <v>0</v>
      </c>
    </row>
    <row r="2180" spans="1:30" s="20" customFormat="1" ht="36" customHeight="1" x14ac:dyDescent="0.25">
      <c r="A2180" s="2">
        <f t="shared" si="1224"/>
        <v>2104</v>
      </c>
      <c r="B2180" s="3">
        <f t="shared" si="1237"/>
        <v>2104</v>
      </c>
      <c r="C2180" s="19" t="s">
        <v>1310</v>
      </c>
      <c r="D2180" s="4">
        <f t="shared" si="1220"/>
        <v>4039823.4000000004</v>
      </c>
      <c r="E2180" s="1">
        <f t="shared" si="1238"/>
        <v>2707013.4000000004</v>
      </c>
      <c r="F2180" s="1">
        <f>804*807.1</f>
        <v>648908.4</v>
      </c>
      <c r="G2180" s="1">
        <f>1693*807.1</f>
        <v>1366420.3</v>
      </c>
      <c r="H2180" s="1">
        <f>390*807.1</f>
        <v>314769</v>
      </c>
      <c r="I2180" s="1">
        <v>0</v>
      </c>
      <c r="J2180" s="1">
        <f>467*807.1</f>
        <v>376915.7</v>
      </c>
      <c r="K2180" s="1">
        <v>0</v>
      </c>
      <c r="L2180" s="2">
        <v>0</v>
      </c>
      <c r="M2180" s="1">
        <v>0</v>
      </c>
      <c r="N2180" s="1">
        <v>0</v>
      </c>
      <c r="O2180" s="1">
        <v>0</v>
      </c>
      <c r="P2180" s="1">
        <v>50</v>
      </c>
      <c r="Q2180" s="1">
        <f t="shared" si="1205"/>
        <v>70000</v>
      </c>
      <c r="R2180" s="1">
        <v>310</v>
      </c>
      <c r="S2180" s="1">
        <f t="shared" si="1206"/>
        <v>1162810</v>
      </c>
      <c r="T2180" s="1">
        <v>0</v>
      </c>
      <c r="U2180" s="1">
        <v>50000</v>
      </c>
      <c r="V2180" s="1">
        <v>0</v>
      </c>
      <c r="W2180" s="1">
        <v>50000</v>
      </c>
      <c r="X2180" s="1">
        <v>0</v>
      </c>
      <c r="Y2180" s="1">
        <v>0</v>
      </c>
      <c r="Z2180" s="1">
        <v>0</v>
      </c>
      <c r="AA2180" s="1">
        <v>0</v>
      </c>
      <c r="AB2180" s="1">
        <v>0</v>
      </c>
      <c r="AC2180" s="1">
        <v>0</v>
      </c>
      <c r="AD2180" s="1">
        <v>0</v>
      </c>
    </row>
    <row r="2181" spans="1:30" s="20" customFormat="1" ht="36" customHeight="1" x14ac:dyDescent="0.25">
      <c r="A2181" s="2">
        <f t="shared" si="1224"/>
        <v>2105</v>
      </c>
      <c r="B2181" s="3">
        <f t="shared" si="1237"/>
        <v>2105</v>
      </c>
      <c r="C2181" s="19" t="s">
        <v>1311</v>
      </c>
      <c r="D2181" s="4">
        <f t="shared" si="1220"/>
        <v>1633709</v>
      </c>
      <c r="E2181" s="1">
        <f t="shared" si="1238"/>
        <v>445959</v>
      </c>
      <c r="F2181" s="1">
        <f>804*373.5</f>
        <v>300294</v>
      </c>
      <c r="G2181" s="1">
        <v>0</v>
      </c>
      <c r="H2181" s="1">
        <f>390*373.5</f>
        <v>145665</v>
      </c>
      <c r="I2181" s="1">
        <v>0</v>
      </c>
      <c r="J2181" s="1">
        <v>0</v>
      </c>
      <c r="K2181" s="1">
        <v>0</v>
      </c>
      <c r="L2181" s="2">
        <v>0</v>
      </c>
      <c r="M2181" s="1">
        <v>0</v>
      </c>
      <c r="N2181" s="1">
        <v>0</v>
      </c>
      <c r="O2181" s="1">
        <v>0</v>
      </c>
      <c r="P2181" s="1">
        <v>0</v>
      </c>
      <c r="Q2181" s="1">
        <f t="shared" si="1205"/>
        <v>0</v>
      </c>
      <c r="R2181" s="1">
        <v>250</v>
      </c>
      <c r="S2181" s="1">
        <f t="shared" si="1206"/>
        <v>937750</v>
      </c>
      <c r="T2181" s="1">
        <v>150000</v>
      </c>
      <c r="U2181" s="1">
        <v>50000</v>
      </c>
      <c r="V2181" s="1">
        <v>0</v>
      </c>
      <c r="W2181" s="1">
        <v>50000</v>
      </c>
      <c r="X2181" s="1">
        <v>0</v>
      </c>
      <c r="Y2181" s="1">
        <v>0</v>
      </c>
      <c r="Z2181" s="1">
        <v>0</v>
      </c>
      <c r="AA2181" s="1">
        <v>0</v>
      </c>
      <c r="AB2181" s="1">
        <v>0</v>
      </c>
      <c r="AC2181" s="1">
        <v>0</v>
      </c>
      <c r="AD2181" s="1">
        <v>0</v>
      </c>
    </row>
    <row r="2182" spans="1:30" s="20" customFormat="1" ht="36" customHeight="1" x14ac:dyDescent="0.25">
      <c r="A2182" s="2">
        <f t="shared" si="1224"/>
        <v>2106</v>
      </c>
      <c r="B2182" s="3">
        <f>A2182</f>
        <v>2106</v>
      </c>
      <c r="C2182" s="19" t="s">
        <v>1315</v>
      </c>
      <c r="D2182" s="4">
        <f t="shared" si="1220"/>
        <v>2259646.2000000002</v>
      </c>
      <c r="E2182" s="1">
        <f>SUM(F2182:K2182)</f>
        <v>888097.2</v>
      </c>
      <c r="F2182" s="1">
        <f>804*743.8</f>
        <v>598015.19999999995</v>
      </c>
      <c r="G2182" s="1">
        <v>0</v>
      </c>
      <c r="H2182" s="1">
        <f>390*743.8</f>
        <v>290082</v>
      </c>
      <c r="I2182" s="1">
        <v>0</v>
      </c>
      <c r="J2182" s="1">
        <v>0</v>
      </c>
      <c r="K2182" s="1">
        <v>0</v>
      </c>
      <c r="L2182" s="2">
        <v>0</v>
      </c>
      <c r="M2182" s="1">
        <v>0</v>
      </c>
      <c r="N2182" s="1">
        <v>0</v>
      </c>
      <c r="O2182" s="1">
        <v>0</v>
      </c>
      <c r="P2182" s="1">
        <v>0</v>
      </c>
      <c r="Q2182" s="1">
        <f>P2182*1400</f>
        <v>0</v>
      </c>
      <c r="R2182" s="1">
        <v>299</v>
      </c>
      <c r="S2182" s="1">
        <f>R2182*3751</f>
        <v>1121549</v>
      </c>
      <c r="T2182" s="1">
        <v>150000</v>
      </c>
      <c r="U2182" s="1">
        <v>50000</v>
      </c>
      <c r="V2182" s="1">
        <v>0</v>
      </c>
      <c r="W2182" s="1">
        <v>50000</v>
      </c>
      <c r="X2182" s="1">
        <v>0</v>
      </c>
      <c r="Y2182" s="1">
        <v>0</v>
      </c>
      <c r="Z2182" s="1">
        <v>0</v>
      </c>
      <c r="AA2182" s="1">
        <v>0</v>
      </c>
      <c r="AB2182" s="1">
        <v>0</v>
      </c>
      <c r="AC2182" s="1">
        <v>0</v>
      </c>
      <c r="AD2182" s="1">
        <v>0</v>
      </c>
    </row>
    <row r="2183" spans="1:30" s="20" customFormat="1" ht="36" customHeight="1" x14ac:dyDescent="0.25">
      <c r="A2183" s="2">
        <f t="shared" si="1224"/>
        <v>2107</v>
      </c>
      <c r="B2183" s="3">
        <f>A2183</f>
        <v>2107</v>
      </c>
      <c r="C2183" s="19" t="s">
        <v>1316</v>
      </c>
      <c r="D2183" s="4">
        <f t="shared" si="1220"/>
        <v>3160656.2</v>
      </c>
      <c r="E2183" s="1">
        <f>SUM(F2183:K2183)</f>
        <v>265426.2</v>
      </c>
      <c r="F2183" s="1">
        <f>804*222.3</f>
        <v>178729.2</v>
      </c>
      <c r="G2183" s="1">
        <v>0</v>
      </c>
      <c r="H2183" s="1">
        <f>390*222.3</f>
        <v>86697</v>
      </c>
      <c r="I2183" s="1">
        <v>0</v>
      </c>
      <c r="J2183" s="1">
        <v>0</v>
      </c>
      <c r="K2183" s="1">
        <v>0</v>
      </c>
      <c r="L2183" s="2">
        <v>0</v>
      </c>
      <c r="M2183" s="1">
        <v>0</v>
      </c>
      <c r="N2183" s="1">
        <v>230</v>
      </c>
      <c r="O2183" s="1">
        <f>N2183*7750</f>
        <v>1782500</v>
      </c>
      <c r="P2183" s="1">
        <v>0</v>
      </c>
      <c r="Q2183" s="1">
        <f>P2183*1400</f>
        <v>0</v>
      </c>
      <c r="R2183" s="1">
        <v>230</v>
      </c>
      <c r="S2183" s="1">
        <f>R2183*3751</f>
        <v>862730</v>
      </c>
      <c r="T2183" s="1">
        <v>150000</v>
      </c>
      <c r="U2183" s="1">
        <v>50000</v>
      </c>
      <c r="V2183" s="1">
        <v>0</v>
      </c>
      <c r="W2183" s="1">
        <v>50000</v>
      </c>
      <c r="X2183" s="1">
        <v>0</v>
      </c>
      <c r="Y2183" s="1">
        <v>0</v>
      </c>
      <c r="Z2183" s="1">
        <v>0</v>
      </c>
      <c r="AA2183" s="1">
        <v>0</v>
      </c>
      <c r="AB2183" s="1">
        <v>0</v>
      </c>
      <c r="AC2183" s="1">
        <v>0</v>
      </c>
      <c r="AD2183" s="1">
        <v>0</v>
      </c>
    </row>
    <row r="2184" spans="1:30" s="20" customFormat="1" ht="36" customHeight="1" x14ac:dyDescent="0.25">
      <c r="A2184" s="2">
        <f t="shared" si="1224"/>
        <v>2108</v>
      </c>
      <c r="B2184" s="2">
        <f t="shared" si="1237"/>
        <v>2108</v>
      </c>
      <c r="C2184" s="19" t="s">
        <v>1312</v>
      </c>
      <c r="D2184" s="39">
        <f t="shared" si="1220"/>
        <v>4647315.5999999996</v>
      </c>
      <c r="E2184" s="1">
        <f t="shared" si="1238"/>
        <v>2939445.5999999996</v>
      </c>
      <c r="F2184" s="1">
        <f>804*876.4</f>
        <v>704625.6</v>
      </c>
      <c r="G2184" s="1">
        <f>1693*876.4</f>
        <v>1483745.2</v>
      </c>
      <c r="H2184" s="1">
        <f>390*876.4</f>
        <v>341796</v>
      </c>
      <c r="I2184" s="1">
        <v>0</v>
      </c>
      <c r="J2184" s="1">
        <f>467*876.4</f>
        <v>409278.8</v>
      </c>
      <c r="K2184" s="1">
        <v>0</v>
      </c>
      <c r="L2184" s="2">
        <v>0</v>
      </c>
      <c r="M2184" s="1">
        <v>0</v>
      </c>
      <c r="N2184" s="1">
        <v>0</v>
      </c>
      <c r="O2184" s="1">
        <v>0</v>
      </c>
      <c r="P2184" s="1">
        <v>50</v>
      </c>
      <c r="Q2184" s="1">
        <f t="shared" si="1205"/>
        <v>70000</v>
      </c>
      <c r="R2184" s="1">
        <v>370</v>
      </c>
      <c r="S2184" s="1">
        <f t="shared" si="1206"/>
        <v>1387870</v>
      </c>
      <c r="T2184" s="1">
        <v>150000</v>
      </c>
      <c r="U2184" s="1">
        <v>50000</v>
      </c>
      <c r="V2184" s="1">
        <v>0</v>
      </c>
      <c r="W2184" s="1">
        <v>50000</v>
      </c>
      <c r="X2184" s="1">
        <v>0</v>
      </c>
      <c r="Y2184" s="1">
        <v>0</v>
      </c>
      <c r="Z2184" s="1">
        <v>0</v>
      </c>
      <c r="AA2184" s="1">
        <v>0</v>
      </c>
      <c r="AB2184" s="1">
        <v>0</v>
      </c>
      <c r="AC2184" s="1">
        <v>0</v>
      </c>
      <c r="AD2184" s="1">
        <v>0</v>
      </c>
    </row>
    <row r="2185" spans="1:30" s="20" customFormat="1" ht="36" customHeight="1" x14ac:dyDescent="0.25">
      <c r="A2185" s="2">
        <f t="shared" si="1224"/>
        <v>2109</v>
      </c>
      <c r="B2185" s="2">
        <f t="shared" si="1237"/>
        <v>2109</v>
      </c>
      <c r="C2185" s="19" t="s">
        <v>1313</v>
      </c>
      <c r="D2185" s="39">
        <f t="shared" si="1220"/>
        <v>4023810</v>
      </c>
      <c r="E2185" s="1">
        <f t="shared" si="1238"/>
        <v>2595996</v>
      </c>
      <c r="F2185" s="1">
        <f>804*774</f>
        <v>622296</v>
      </c>
      <c r="G2185" s="1">
        <f>1693*774</f>
        <v>1310382</v>
      </c>
      <c r="H2185" s="1">
        <f>390*774</f>
        <v>301860</v>
      </c>
      <c r="I2185" s="1">
        <v>0</v>
      </c>
      <c r="J2185" s="1">
        <f>467*774</f>
        <v>361458</v>
      </c>
      <c r="K2185" s="1">
        <v>0</v>
      </c>
      <c r="L2185" s="2">
        <v>0</v>
      </c>
      <c r="M2185" s="1">
        <v>0</v>
      </c>
      <c r="N2185" s="1">
        <v>0</v>
      </c>
      <c r="O2185" s="1">
        <v>0</v>
      </c>
      <c r="P2185" s="1">
        <v>0</v>
      </c>
      <c r="Q2185" s="1">
        <f t="shared" si="1205"/>
        <v>0</v>
      </c>
      <c r="R2185" s="1">
        <v>314</v>
      </c>
      <c r="S2185" s="1">
        <f t="shared" si="1206"/>
        <v>1177814</v>
      </c>
      <c r="T2185" s="1">
        <v>150000</v>
      </c>
      <c r="U2185" s="1">
        <v>50000</v>
      </c>
      <c r="V2185" s="1">
        <v>0</v>
      </c>
      <c r="W2185" s="1">
        <v>50000</v>
      </c>
      <c r="X2185" s="1">
        <v>0</v>
      </c>
      <c r="Y2185" s="1">
        <v>0</v>
      </c>
      <c r="Z2185" s="1">
        <v>0</v>
      </c>
      <c r="AA2185" s="1">
        <v>0</v>
      </c>
      <c r="AB2185" s="1">
        <v>0</v>
      </c>
      <c r="AC2185" s="1">
        <v>0</v>
      </c>
      <c r="AD2185" s="1">
        <v>0</v>
      </c>
    </row>
    <row r="2186" spans="1:30" s="20" customFormat="1" ht="36" customHeight="1" x14ac:dyDescent="0.25">
      <c r="A2186" s="2">
        <f t="shared" si="1224"/>
        <v>2110</v>
      </c>
      <c r="B2186" s="3">
        <f t="shared" si="1237"/>
        <v>2110</v>
      </c>
      <c r="C2186" s="19" t="s">
        <v>1314</v>
      </c>
      <c r="D2186" s="4">
        <f t="shared" si="1220"/>
        <v>4079363.1999999997</v>
      </c>
      <c r="E2186" s="1">
        <f t="shared" si="1238"/>
        <v>2659051.1999999997</v>
      </c>
      <c r="F2186" s="1">
        <f>804*792.8</f>
        <v>637411.19999999995</v>
      </c>
      <c r="G2186" s="1">
        <f>1693*792.8</f>
        <v>1342210.4</v>
      </c>
      <c r="H2186" s="1">
        <f>390*792.8</f>
        <v>309192</v>
      </c>
      <c r="I2186" s="1">
        <v>0</v>
      </c>
      <c r="J2186" s="1">
        <f>467*792.8</f>
        <v>370237.6</v>
      </c>
      <c r="K2186" s="1">
        <v>0</v>
      </c>
      <c r="L2186" s="2">
        <v>0</v>
      </c>
      <c r="M2186" s="1">
        <v>0</v>
      </c>
      <c r="N2186" s="1">
        <v>0</v>
      </c>
      <c r="O2186" s="1">
        <v>0</v>
      </c>
      <c r="P2186" s="1">
        <v>0</v>
      </c>
      <c r="Q2186" s="1">
        <f t="shared" si="1205"/>
        <v>0</v>
      </c>
      <c r="R2186" s="1">
        <v>312</v>
      </c>
      <c r="S2186" s="1">
        <f t="shared" si="1206"/>
        <v>1170312</v>
      </c>
      <c r="T2186" s="1">
        <v>150000</v>
      </c>
      <c r="U2186" s="1">
        <v>50000</v>
      </c>
      <c r="V2186" s="1">
        <v>0</v>
      </c>
      <c r="W2186" s="1">
        <v>50000</v>
      </c>
      <c r="X2186" s="1">
        <v>0</v>
      </c>
      <c r="Y2186" s="1">
        <v>0</v>
      </c>
      <c r="Z2186" s="1">
        <v>0</v>
      </c>
      <c r="AA2186" s="1">
        <v>0</v>
      </c>
      <c r="AB2186" s="1">
        <v>0</v>
      </c>
      <c r="AC2186" s="1">
        <v>0</v>
      </c>
      <c r="AD2186" s="1">
        <v>0</v>
      </c>
    </row>
    <row r="2187" spans="1:30" s="20" customFormat="1" ht="36" customHeight="1" x14ac:dyDescent="0.25">
      <c r="A2187" s="2">
        <f t="shared" si="1224"/>
        <v>2111</v>
      </c>
      <c r="B2187" s="3">
        <f t="shared" si="1237"/>
        <v>2111</v>
      </c>
      <c r="C2187" s="19" t="s">
        <v>1317</v>
      </c>
      <c r="D2187" s="4">
        <f t="shared" si="1220"/>
        <v>4564174</v>
      </c>
      <c r="E2187" s="1">
        <f t="shared" si="1238"/>
        <v>4464174</v>
      </c>
      <c r="F2187" s="1">
        <f>804*1331</f>
        <v>1070124</v>
      </c>
      <c r="G2187" s="1">
        <f>1693*1331</f>
        <v>2253383</v>
      </c>
      <c r="H2187" s="1">
        <f>390*1331</f>
        <v>519090</v>
      </c>
      <c r="I2187" s="1">
        <v>0</v>
      </c>
      <c r="J2187" s="1">
        <f>467*1331</f>
        <v>621577</v>
      </c>
      <c r="K2187" s="1">
        <v>0</v>
      </c>
      <c r="L2187" s="2">
        <v>0</v>
      </c>
      <c r="M2187" s="1">
        <v>0</v>
      </c>
      <c r="N2187" s="1">
        <v>0</v>
      </c>
      <c r="O2187" s="1">
        <v>0</v>
      </c>
      <c r="P2187" s="1">
        <v>0</v>
      </c>
      <c r="Q2187" s="1">
        <f t="shared" si="1205"/>
        <v>0</v>
      </c>
      <c r="R2187" s="1">
        <v>0</v>
      </c>
      <c r="S2187" s="1">
        <f t="shared" si="1206"/>
        <v>0</v>
      </c>
      <c r="T2187" s="1">
        <v>0</v>
      </c>
      <c r="U2187" s="1">
        <v>50000</v>
      </c>
      <c r="V2187" s="1">
        <v>0</v>
      </c>
      <c r="W2187" s="1">
        <v>50000</v>
      </c>
      <c r="X2187" s="1">
        <v>0</v>
      </c>
      <c r="Y2187" s="1">
        <v>0</v>
      </c>
      <c r="Z2187" s="1">
        <v>0</v>
      </c>
      <c r="AA2187" s="1">
        <v>0</v>
      </c>
      <c r="AB2187" s="1">
        <v>0</v>
      </c>
      <c r="AC2187" s="1">
        <v>0</v>
      </c>
      <c r="AD2187" s="1">
        <v>0</v>
      </c>
    </row>
    <row r="2188" spans="1:30" s="20" customFormat="1" ht="54.95" customHeight="1" x14ac:dyDescent="0.25">
      <c r="A2188" s="3"/>
      <c r="B2188" s="47" t="s">
        <v>1976</v>
      </c>
      <c r="C2188" s="48"/>
      <c r="D2188" s="4">
        <f>SUM(D2189:D2198)</f>
        <v>49227222.699999996</v>
      </c>
      <c r="E2188" s="4">
        <f t="shared" ref="E2188:AD2188" si="1239">SUM(E2189:E2198)</f>
        <v>8057524.7000000002</v>
      </c>
      <c r="F2188" s="4">
        <f t="shared" si="1239"/>
        <v>4047771.6</v>
      </c>
      <c r="G2188" s="4">
        <f t="shared" si="1239"/>
        <v>0</v>
      </c>
      <c r="H2188" s="4">
        <f t="shared" si="1239"/>
        <v>1613529.4</v>
      </c>
      <c r="I2188" s="4">
        <f t="shared" si="1239"/>
        <v>0</v>
      </c>
      <c r="J2188" s="4">
        <f t="shared" si="1239"/>
        <v>2396223.6999999997</v>
      </c>
      <c r="K2188" s="4">
        <f t="shared" si="1239"/>
        <v>0</v>
      </c>
      <c r="L2188" s="17">
        <f t="shared" si="1239"/>
        <v>0</v>
      </c>
      <c r="M2188" s="4">
        <f t="shared" si="1239"/>
        <v>0</v>
      </c>
      <c r="N2188" s="4">
        <f t="shared" si="1239"/>
        <v>3011</v>
      </c>
      <c r="O2188" s="4">
        <f t="shared" si="1239"/>
        <v>23335250</v>
      </c>
      <c r="P2188" s="4">
        <f t="shared" si="1239"/>
        <v>0</v>
      </c>
      <c r="Q2188" s="4">
        <f t="shared" si="1239"/>
        <v>0</v>
      </c>
      <c r="R2188" s="4">
        <f t="shared" si="1239"/>
        <v>4448</v>
      </c>
      <c r="S2188" s="4">
        <f t="shared" si="1239"/>
        <v>16684448</v>
      </c>
      <c r="T2188" s="4">
        <f t="shared" si="1239"/>
        <v>300000</v>
      </c>
      <c r="U2188" s="4">
        <f t="shared" si="1239"/>
        <v>450000</v>
      </c>
      <c r="V2188" s="4">
        <f t="shared" si="1239"/>
        <v>0</v>
      </c>
      <c r="W2188" s="4">
        <f t="shared" si="1239"/>
        <v>400000</v>
      </c>
      <c r="X2188" s="4">
        <f t="shared" si="1239"/>
        <v>0</v>
      </c>
      <c r="Y2188" s="4">
        <f t="shared" si="1239"/>
        <v>0</v>
      </c>
      <c r="Z2188" s="4">
        <f t="shared" si="1239"/>
        <v>0</v>
      </c>
      <c r="AA2188" s="4">
        <f t="shared" si="1239"/>
        <v>0</v>
      </c>
      <c r="AB2188" s="4">
        <f t="shared" si="1239"/>
        <v>0</v>
      </c>
      <c r="AC2188" s="4">
        <f t="shared" si="1239"/>
        <v>0</v>
      </c>
      <c r="AD2188" s="4">
        <f t="shared" si="1239"/>
        <v>0</v>
      </c>
    </row>
    <row r="2189" spans="1:30" s="20" customFormat="1" ht="36" customHeight="1" x14ac:dyDescent="0.25">
      <c r="A2189" s="2">
        <f>ROW()-ROW($A$11)-66</f>
        <v>2112</v>
      </c>
      <c r="B2189" s="3">
        <f t="shared" si="1237"/>
        <v>2112</v>
      </c>
      <c r="C2189" s="19" t="s">
        <v>1318</v>
      </c>
      <c r="D2189" s="4">
        <f t="shared" ref="D2189:D2198" si="1240">E2189+M2189+O2189+Q2189+S2189+T2189+U2189+V2189+W2189+X2189+Z2189+AA2189+AB2189+AC2189+AD2189</f>
        <v>3947728</v>
      </c>
      <c r="E2189" s="1">
        <f t="shared" ref="E2189:E2198" si="1241">SUM(F2189:K2189)</f>
        <v>442728</v>
      </c>
      <c r="F2189" s="1">
        <v>516</v>
      </c>
      <c r="G2189" s="1">
        <v>0</v>
      </c>
      <c r="H2189" s="1">
        <f>390*516</f>
        <v>201240</v>
      </c>
      <c r="I2189" s="1">
        <v>0</v>
      </c>
      <c r="J2189" s="1">
        <f>467*516</f>
        <v>240972</v>
      </c>
      <c r="K2189" s="1">
        <v>0</v>
      </c>
      <c r="L2189" s="2">
        <v>0</v>
      </c>
      <c r="M2189" s="1">
        <v>0</v>
      </c>
      <c r="N2189" s="1">
        <v>299</v>
      </c>
      <c r="O2189" s="1">
        <f>N2189*7750</f>
        <v>2317250</v>
      </c>
      <c r="P2189" s="1">
        <v>0</v>
      </c>
      <c r="Q2189" s="1">
        <f t="shared" ref="Q2189:Q2198" si="1242">P2189*1400</f>
        <v>0</v>
      </c>
      <c r="R2189" s="1">
        <v>250</v>
      </c>
      <c r="S2189" s="1">
        <f t="shared" ref="S2189:S2198" si="1243">R2189*3751</f>
        <v>937750</v>
      </c>
      <c r="T2189" s="1">
        <v>150000</v>
      </c>
      <c r="U2189" s="1">
        <v>50000</v>
      </c>
      <c r="V2189" s="1">
        <v>0</v>
      </c>
      <c r="W2189" s="1">
        <v>50000</v>
      </c>
      <c r="X2189" s="1">
        <v>0</v>
      </c>
      <c r="Y2189" s="1">
        <v>0</v>
      </c>
      <c r="Z2189" s="1">
        <v>0</v>
      </c>
      <c r="AA2189" s="1">
        <v>0</v>
      </c>
      <c r="AB2189" s="1">
        <v>0</v>
      </c>
      <c r="AC2189" s="1">
        <v>0</v>
      </c>
      <c r="AD2189" s="1">
        <v>0</v>
      </c>
    </row>
    <row r="2190" spans="1:30" s="20" customFormat="1" ht="36" customHeight="1" x14ac:dyDescent="0.25">
      <c r="A2190" s="2">
        <f t="shared" ref="A2190:A2198" si="1244">ROW()-ROW($A$11)-66</f>
        <v>2113</v>
      </c>
      <c r="B2190" s="6">
        <f t="shared" si="1237"/>
        <v>2113</v>
      </c>
      <c r="C2190" s="19" t="s">
        <v>2078</v>
      </c>
      <c r="D2190" s="4">
        <f t="shared" si="1240"/>
        <v>1620432</v>
      </c>
      <c r="E2190" s="1">
        <f t="shared" si="1241"/>
        <v>0</v>
      </c>
      <c r="F2190" s="7">
        <v>0</v>
      </c>
      <c r="G2190" s="7">
        <v>0</v>
      </c>
      <c r="H2190" s="7">
        <v>0</v>
      </c>
      <c r="I2190" s="1">
        <v>0</v>
      </c>
      <c r="J2190" s="7">
        <v>0</v>
      </c>
      <c r="K2190" s="1">
        <v>0</v>
      </c>
      <c r="L2190" s="2">
        <v>0</v>
      </c>
      <c r="M2190" s="1">
        <v>0</v>
      </c>
      <c r="N2190" s="1">
        <v>0</v>
      </c>
      <c r="O2190" s="1">
        <v>0</v>
      </c>
      <c r="P2190" s="1">
        <v>0</v>
      </c>
      <c r="Q2190" s="1">
        <f t="shared" si="1242"/>
        <v>0</v>
      </c>
      <c r="R2190" s="1">
        <v>432</v>
      </c>
      <c r="S2190" s="1">
        <f t="shared" si="1243"/>
        <v>1620432</v>
      </c>
      <c r="T2190" s="1">
        <v>0</v>
      </c>
      <c r="U2190" s="1">
        <v>0</v>
      </c>
      <c r="V2190" s="1">
        <v>0</v>
      </c>
      <c r="W2190" s="1">
        <v>0</v>
      </c>
      <c r="X2190" s="1">
        <v>0</v>
      </c>
      <c r="Y2190" s="1">
        <v>0</v>
      </c>
      <c r="Z2190" s="1">
        <v>0</v>
      </c>
      <c r="AA2190" s="1">
        <v>0</v>
      </c>
      <c r="AB2190" s="1">
        <v>0</v>
      </c>
      <c r="AC2190" s="1">
        <v>0</v>
      </c>
      <c r="AD2190" s="1">
        <v>0</v>
      </c>
    </row>
    <row r="2191" spans="1:30" s="20" customFormat="1" ht="36" customHeight="1" x14ac:dyDescent="0.25">
      <c r="A2191" s="2">
        <f t="shared" si="1244"/>
        <v>2114</v>
      </c>
      <c r="B2191" s="6">
        <f t="shared" si="1237"/>
        <v>2114</v>
      </c>
      <c r="C2191" s="19" t="s">
        <v>2075</v>
      </c>
      <c r="D2191" s="4">
        <f t="shared" si="1240"/>
        <v>2010898.2</v>
      </c>
      <c r="E2191" s="1">
        <f t="shared" si="1241"/>
        <v>336715.2</v>
      </c>
      <c r="F2191" s="7">
        <f>804*418.8</f>
        <v>336715.2</v>
      </c>
      <c r="G2191" s="7">
        <v>0</v>
      </c>
      <c r="H2191" s="7">
        <v>0</v>
      </c>
      <c r="I2191" s="1">
        <v>0</v>
      </c>
      <c r="J2191" s="7">
        <v>0</v>
      </c>
      <c r="K2191" s="1">
        <v>0</v>
      </c>
      <c r="L2191" s="2">
        <v>0</v>
      </c>
      <c r="M2191" s="1">
        <v>0</v>
      </c>
      <c r="N2191" s="1">
        <v>0</v>
      </c>
      <c r="O2191" s="1">
        <v>0</v>
      </c>
      <c r="P2191" s="1">
        <v>0</v>
      </c>
      <c r="Q2191" s="1">
        <f t="shared" si="1242"/>
        <v>0</v>
      </c>
      <c r="R2191" s="1">
        <v>433</v>
      </c>
      <c r="S2191" s="1">
        <f t="shared" si="1243"/>
        <v>1624183</v>
      </c>
      <c r="T2191" s="1">
        <v>0</v>
      </c>
      <c r="U2191" s="1">
        <v>50000</v>
      </c>
      <c r="V2191" s="1">
        <v>0</v>
      </c>
      <c r="W2191" s="1">
        <v>0</v>
      </c>
      <c r="X2191" s="1">
        <v>0</v>
      </c>
      <c r="Y2191" s="1">
        <v>0</v>
      </c>
      <c r="Z2191" s="1">
        <v>0</v>
      </c>
      <c r="AA2191" s="1">
        <v>0</v>
      </c>
      <c r="AB2191" s="1">
        <v>0</v>
      </c>
      <c r="AC2191" s="1">
        <v>0</v>
      </c>
      <c r="AD2191" s="1">
        <v>0</v>
      </c>
    </row>
    <row r="2192" spans="1:30" s="20" customFormat="1" ht="36" customHeight="1" x14ac:dyDescent="0.25">
      <c r="A2192" s="2">
        <f t="shared" si="1244"/>
        <v>2115</v>
      </c>
      <c r="B2192" s="3">
        <f t="shared" si="1237"/>
        <v>2115</v>
      </c>
      <c r="C2192" s="19" t="s">
        <v>1320</v>
      </c>
      <c r="D2192" s="4">
        <f t="shared" si="1240"/>
        <v>2472531.7000000002</v>
      </c>
      <c r="E2192" s="1">
        <f t="shared" si="1241"/>
        <v>707087.7</v>
      </c>
      <c r="F2192" s="1">
        <f>804*425.7</f>
        <v>342262.8</v>
      </c>
      <c r="G2192" s="1">
        <v>0</v>
      </c>
      <c r="H2192" s="1">
        <f>390*425.7</f>
        <v>166023</v>
      </c>
      <c r="I2192" s="1">
        <v>0</v>
      </c>
      <c r="J2192" s="1">
        <f>467*425.7</f>
        <v>198801.9</v>
      </c>
      <c r="K2192" s="1">
        <v>0</v>
      </c>
      <c r="L2192" s="2">
        <v>0</v>
      </c>
      <c r="M2192" s="1">
        <v>0</v>
      </c>
      <c r="N2192" s="1">
        <v>0</v>
      </c>
      <c r="O2192" s="1">
        <v>0</v>
      </c>
      <c r="P2192" s="1">
        <v>0</v>
      </c>
      <c r="Q2192" s="1">
        <f t="shared" si="1242"/>
        <v>0</v>
      </c>
      <c r="R2192" s="1">
        <v>444</v>
      </c>
      <c r="S2192" s="1">
        <f t="shared" si="1243"/>
        <v>1665444</v>
      </c>
      <c r="T2192" s="1">
        <v>0</v>
      </c>
      <c r="U2192" s="1">
        <v>50000</v>
      </c>
      <c r="V2192" s="1">
        <v>0</v>
      </c>
      <c r="W2192" s="1">
        <v>50000</v>
      </c>
      <c r="X2192" s="1">
        <v>0</v>
      </c>
      <c r="Y2192" s="1">
        <v>0</v>
      </c>
      <c r="Z2192" s="1">
        <v>0</v>
      </c>
      <c r="AA2192" s="1">
        <v>0</v>
      </c>
      <c r="AB2192" s="1">
        <v>0</v>
      </c>
      <c r="AC2192" s="1">
        <v>0</v>
      </c>
      <c r="AD2192" s="1">
        <v>0</v>
      </c>
    </row>
    <row r="2193" spans="1:30" s="20" customFormat="1" ht="36" customHeight="1" x14ac:dyDescent="0.25">
      <c r="A2193" s="2">
        <f t="shared" si="1244"/>
        <v>2116</v>
      </c>
      <c r="B2193" s="3">
        <f t="shared" si="1237"/>
        <v>2116</v>
      </c>
      <c r="C2193" s="19" t="s">
        <v>1321</v>
      </c>
      <c r="D2193" s="4">
        <f t="shared" si="1240"/>
        <v>2586396</v>
      </c>
      <c r="E2193" s="1">
        <f t="shared" si="1241"/>
        <v>933482</v>
      </c>
      <c r="F2193" s="1">
        <f>804*562</f>
        <v>451848</v>
      </c>
      <c r="G2193" s="1">
        <v>0</v>
      </c>
      <c r="H2193" s="1">
        <f>390*562</f>
        <v>219180</v>
      </c>
      <c r="I2193" s="1">
        <v>0</v>
      </c>
      <c r="J2193" s="1">
        <f>467*562</f>
        <v>262454</v>
      </c>
      <c r="K2193" s="1">
        <v>0</v>
      </c>
      <c r="L2193" s="2">
        <v>0</v>
      </c>
      <c r="M2193" s="1">
        <v>0</v>
      </c>
      <c r="N2193" s="1">
        <v>0</v>
      </c>
      <c r="O2193" s="1">
        <v>0</v>
      </c>
      <c r="P2193" s="1">
        <v>0</v>
      </c>
      <c r="Q2193" s="1">
        <f t="shared" si="1242"/>
        <v>0</v>
      </c>
      <c r="R2193" s="1">
        <v>414</v>
      </c>
      <c r="S2193" s="1">
        <f t="shared" si="1243"/>
        <v>1552914</v>
      </c>
      <c r="T2193" s="1">
        <v>0</v>
      </c>
      <c r="U2193" s="1">
        <v>50000</v>
      </c>
      <c r="V2193" s="1">
        <v>0</v>
      </c>
      <c r="W2193" s="1">
        <v>50000</v>
      </c>
      <c r="X2193" s="1">
        <v>0</v>
      </c>
      <c r="Y2193" s="1">
        <v>0</v>
      </c>
      <c r="Z2193" s="1">
        <v>0</v>
      </c>
      <c r="AA2193" s="1">
        <v>0</v>
      </c>
      <c r="AB2193" s="1">
        <v>0</v>
      </c>
      <c r="AC2193" s="1">
        <v>0</v>
      </c>
      <c r="AD2193" s="1">
        <v>0</v>
      </c>
    </row>
    <row r="2194" spans="1:30" s="20" customFormat="1" ht="36" customHeight="1" x14ac:dyDescent="0.25">
      <c r="A2194" s="2">
        <f t="shared" si="1244"/>
        <v>2117</v>
      </c>
      <c r="B2194" s="3">
        <f>A2194</f>
        <v>2117</v>
      </c>
      <c r="C2194" s="19" t="s">
        <v>1319</v>
      </c>
      <c r="D2194" s="4">
        <f t="shared" si="1240"/>
        <v>8292576</v>
      </c>
      <c r="E2194" s="1">
        <f>SUM(F2194:K2194)</f>
        <v>1661000</v>
      </c>
      <c r="F2194" s="1">
        <f>804*1000</f>
        <v>804000</v>
      </c>
      <c r="G2194" s="1">
        <v>0</v>
      </c>
      <c r="H2194" s="1">
        <f>390*1000</f>
        <v>390000</v>
      </c>
      <c r="I2194" s="1">
        <v>0</v>
      </c>
      <c r="J2194" s="1">
        <f>467*1000</f>
        <v>467000</v>
      </c>
      <c r="K2194" s="1">
        <v>0</v>
      </c>
      <c r="L2194" s="2">
        <v>0</v>
      </c>
      <c r="M2194" s="1">
        <v>0</v>
      </c>
      <c r="N2194" s="1">
        <v>564</v>
      </c>
      <c r="O2194" s="1">
        <f>N2194*7750</f>
        <v>4371000</v>
      </c>
      <c r="P2194" s="1">
        <v>0</v>
      </c>
      <c r="Q2194" s="1">
        <f>P2194*1400</f>
        <v>0</v>
      </c>
      <c r="R2194" s="1">
        <v>576</v>
      </c>
      <c r="S2194" s="1">
        <f>R2194*3751</f>
        <v>2160576</v>
      </c>
      <c r="T2194" s="1">
        <v>0</v>
      </c>
      <c r="U2194" s="1">
        <v>50000</v>
      </c>
      <c r="V2194" s="1">
        <v>0</v>
      </c>
      <c r="W2194" s="1">
        <v>50000</v>
      </c>
      <c r="X2194" s="1">
        <v>0</v>
      </c>
      <c r="Y2194" s="1">
        <v>0</v>
      </c>
      <c r="Z2194" s="1">
        <v>0</v>
      </c>
      <c r="AA2194" s="1">
        <v>0</v>
      </c>
      <c r="AB2194" s="1">
        <v>0</v>
      </c>
      <c r="AC2194" s="1">
        <v>0</v>
      </c>
      <c r="AD2194" s="1">
        <v>0</v>
      </c>
    </row>
    <row r="2195" spans="1:30" s="20" customFormat="1" ht="36" customHeight="1" x14ac:dyDescent="0.25">
      <c r="A2195" s="2">
        <f t="shared" si="1244"/>
        <v>2118</v>
      </c>
      <c r="B2195" s="3">
        <f t="shared" si="1237"/>
        <v>2118</v>
      </c>
      <c r="C2195" s="19" t="s">
        <v>2551</v>
      </c>
      <c r="D2195" s="4">
        <f t="shared" si="1240"/>
        <v>6549678.7999999998</v>
      </c>
      <c r="E2195" s="1">
        <f t="shared" si="1241"/>
        <v>851760.79999999993</v>
      </c>
      <c r="F2195" s="1">
        <f>804*512.8</f>
        <v>412291.19999999995</v>
      </c>
      <c r="G2195" s="1">
        <v>0</v>
      </c>
      <c r="H2195" s="1">
        <f>390*512.8</f>
        <v>199991.99999999997</v>
      </c>
      <c r="I2195" s="1">
        <v>0</v>
      </c>
      <c r="J2195" s="1">
        <f>467*512.8</f>
        <v>239477.59999999998</v>
      </c>
      <c r="K2195" s="1">
        <v>0</v>
      </c>
      <c r="L2195" s="2">
        <v>0</v>
      </c>
      <c r="M2195" s="1">
        <v>0</v>
      </c>
      <c r="N2195" s="1">
        <v>520</v>
      </c>
      <c r="O2195" s="1">
        <f>N2195*7750</f>
        <v>4030000</v>
      </c>
      <c r="P2195" s="1">
        <v>0</v>
      </c>
      <c r="Q2195" s="1">
        <f t="shared" si="1242"/>
        <v>0</v>
      </c>
      <c r="R2195" s="1">
        <v>418</v>
      </c>
      <c r="S2195" s="1">
        <f t="shared" si="1243"/>
        <v>1567918</v>
      </c>
      <c r="T2195" s="1">
        <v>0</v>
      </c>
      <c r="U2195" s="1">
        <v>50000</v>
      </c>
      <c r="V2195" s="1">
        <v>0</v>
      </c>
      <c r="W2195" s="1">
        <v>50000</v>
      </c>
      <c r="X2195" s="1">
        <v>0</v>
      </c>
      <c r="Y2195" s="1">
        <v>0</v>
      </c>
      <c r="Z2195" s="1">
        <v>0</v>
      </c>
      <c r="AA2195" s="1">
        <v>0</v>
      </c>
      <c r="AB2195" s="1">
        <v>0</v>
      </c>
      <c r="AC2195" s="1">
        <v>0</v>
      </c>
      <c r="AD2195" s="1">
        <v>0</v>
      </c>
    </row>
    <row r="2196" spans="1:30" s="20" customFormat="1" ht="36" customHeight="1" x14ac:dyDescent="0.25">
      <c r="A2196" s="2">
        <f t="shared" si="1244"/>
        <v>2119</v>
      </c>
      <c r="B2196" s="3">
        <f t="shared" si="1237"/>
        <v>2119</v>
      </c>
      <c r="C2196" s="19" t="s">
        <v>2619</v>
      </c>
      <c r="D2196" s="4">
        <f t="shared" si="1240"/>
        <v>6670977.7000000002</v>
      </c>
      <c r="E2196" s="1">
        <f t="shared" si="1241"/>
        <v>918034.70000000007</v>
      </c>
      <c r="F2196" s="1">
        <f>804*552.7</f>
        <v>444370.80000000005</v>
      </c>
      <c r="G2196" s="1">
        <v>0</v>
      </c>
      <c r="H2196" s="1">
        <f>390*552.7</f>
        <v>215553.00000000003</v>
      </c>
      <c r="I2196" s="1">
        <v>0</v>
      </c>
      <c r="J2196" s="1">
        <f>467*552.7</f>
        <v>258110.90000000002</v>
      </c>
      <c r="K2196" s="1">
        <v>0</v>
      </c>
      <c r="L2196" s="2">
        <v>0</v>
      </c>
      <c r="M2196" s="1">
        <v>0</v>
      </c>
      <c r="N2196" s="1">
        <v>515</v>
      </c>
      <c r="O2196" s="1">
        <f>N2196*7750</f>
        <v>3991250</v>
      </c>
      <c r="P2196" s="1">
        <v>0</v>
      </c>
      <c r="Q2196" s="1">
        <f t="shared" si="1242"/>
        <v>0</v>
      </c>
      <c r="R2196" s="1">
        <v>443</v>
      </c>
      <c r="S2196" s="1">
        <f t="shared" si="1243"/>
        <v>1661693</v>
      </c>
      <c r="T2196" s="1">
        <v>0</v>
      </c>
      <c r="U2196" s="1">
        <v>50000</v>
      </c>
      <c r="V2196" s="1">
        <v>0</v>
      </c>
      <c r="W2196" s="1">
        <v>50000</v>
      </c>
      <c r="X2196" s="1">
        <v>0</v>
      </c>
      <c r="Y2196" s="1">
        <v>0</v>
      </c>
      <c r="Z2196" s="1">
        <v>0</v>
      </c>
      <c r="AA2196" s="1">
        <v>0</v>
      </c>
      <c r="AB2196" s="1">
        <v>0</v>
      </c>
      <c r="AC2196" s="1">
        <v>0</v>
      </c>
      <c r="AD2196" s="1">
        <v>0</v>
      </c>
    </row>
    <row r="2197" spans="1:30" s="20" customFormat="1" ht="36" customHeight="1" x14ac:dyDescent="0.25">
      <c r="A2197" s="2">
        <f t="shared" si="1244"/>
        <v>2120</v>
      </c>
      <c r="B2197" s="3">
        <f t="shared" si="1237"/>
        <v>2120</v>
      </c>
      <c r="C2197" s="19" t="s">
        <v>1322</v>
      </c>
      <c r="D2197" s="4">
        <f t="shared" si="1240"/>
        <v>6710745.5</v>
      </c>
      <c r="E2197" s="1">
        <f t="shared" si="1241"/>
        <v>939295.5</v>
      </c>
      <c r="F2197" s="1">
        <f>804*565.5</f>
        <v>454662</v>
      </c>
      <c r="G2197" s="1">
        <v>0</v>
      </c>
      <c r="H2197" s="1">
        <f>390*565.5</f>
        <v>220545</v>
      </c>
      <c r="I2197" s="1">
        <v>0</v>
      </c>
      <c r="J2197" s="1">
        <f>467*565.5</f>
        <v>264088.5</v>
      </c>
      <c r="K2197" s="1">
        <v>0</v>
      </c>
      <c r="L2197" s="2">
        <v>0</v>
      </c>
      <c r="M2197" s="1">
        <v>0</v>
      </c>
      <c r="N2197" s="1">
        <v>514</v>
      </c>
      <c r="O2197" s="1">
        <f>N2197*7750</f>
        <v>3983500</v>
      </c>
      <c r="P2197" s="1">
        <v>0</v>
      </c>
      <c r="Q2197" s="1">
        <f t="shared" si="1242"/>
        <v>0</v>
      </c>
      <c r="R2197" s="1">
        <v>450</v>
      </c>
      <c r="S2197" s="1">
        <f t="shared" si="1243"/>
        <v>1687950</v>
      </c>
      <c r="T2197" s="1">
        <v>0</v>
      </c>
      <c r="U2197" s="1">
        <v>50000</v>
      </c>
      <c r="V2197" s="1">
        <v>0</v>
      </c>
      <c r="W2197" s="1">
        <v>50000</v>
      </c>
      <c r="X2197" s="1">
        <v>0</v>
      </c>
      <c r="Y2197" s="1">
        <v>0</v>
      </c>
      <c r="Z2197" s="1">
        <v>0</v>
      </c>
      <c r="AA2197" s="1">
        <v>0</v>
      </c>
      <c r="AB2197" s="1">
        <v>0</v>
      </c>
      <c r="AC2197" s="1">
        <v>0</v>
      </c>
      <c r="AD2197" s="1">
        <v>0</v>
      </c>
    </row>
    <row r="2198" spans="1:30" s="20" customFormat="1" ht="36" customHeight="1" x14ac:dyDescent="0.25">
      <c r="A2198" s="2">
        <f t="shared" si="1244"/>
        <v>2121</v>
      </c>
      <c r="B2198" s="3">
        <f t="shared" si="1237"/>
        <v>2121</v>
      </c>
      <c r="C2198" s="19" t="s">
        <v>1323</v>
      </c>
      <c r="D2198" s="4">
        <f t="shared" si="1240"/>
        <v>8365258.7999999998</v>
      </c>
      <c r="E2198" s="1">
        <f t="shared" si="1241"/>
        <v>1267420.8</v>
      </c>
      <c r="F2198" s="1">
        <f>804*996.4</f>
        <v>801105.6</v>
      </c>
      <c r="G2198" s="1">
        <v>0</v>
      </c>
      <c r="H2198" s="1">
        <v>996.4</v>
      </c>
      <c r="I2198" s="1">
        <v>0</v>
      </c>
      <c r="J2198" s="1">
        <f>467*996.4</f>
        <v>465318.8</v>
      </c>
      <c r="K2198" s="1">
        <v>0</v>
      </c>
      <c r="L2198" s="2">
        <v>0</v>
      </c>
      <c r="M2198" s="1">
        <v>0</v>
      </c>
      <c r="N2198" s="1">
        <v>599</v>
      </c>
      <c r="O2198" s="1">
        <f>N2198*7750</f>
        <v>4642250</v>
      </c>
      <c r="P2198" s="1">
        <v>0</v>
      </c>
      <c r="Q2198" s="1">
        <f t="shared" si="1242"/>
        <v>0</v>
      </c>
      <c r="R2198" s="1">
        <v>588</v>
      </c>
      <c r="S2198" s="1">
        <f t="shared" si="1243"/>
        <v>2205588</v>
      </c>
      <c r="T2198" s="1">
        <v>150000</v>
      </c>
      <c r="U2198" s="1">
        <v>50000</v>
      </c>
      <c r="V2198" s="1">
        <v>0</v>
      </c>
      <c r="W2198" s="1">
        <v>50000</v>
      </c>
      <c r="X2198" s="1">
        <v>0</v>
      </c>
      <c r="Y2198" s="1">
        <v>0</v>
      </c>
      <c r="Z2198" s="1">
        <v>0</v>
      </c>
      <c r="AA2198" s="1">
        <v>0</v>
      </c>
      <c r="AB2198" s="1">
        <v>0</v>
      </c>
      <c r="AC2198" s="1">
        <v>0</v>
      </c>
      <c r="AD2198" s="1">
        <v>0</v>
      </c>
    </row>
    <row r="2199" spans="1:30" s="20" customFormat="1" ht="54.95" customHeight="1" x14ac:dyDescent="0.25">
      <c r="A2199" s="3"/>
      <c r="B2199" s="47" t="s">
        <v>1977</v>
      </c>
      <c r="C2199" s="48"/>
      <c r="D2199" s="4">
        <f>SUM(D2200:D2201)</f>
        <v>10174376.9</v>
      </c>
      <c r="E2199" s="4">
        <f t="shared" ref="E2199:AD2199" si="1245">SUM(E2200:E2201)</f>
        <v>2042198.9000000001</v>
      </c>
      <c r="F2199" s="4">
        <f t="shared" si="1245"/>
        <v>656747.4</v>
      </c>
      <c r="G2199" s="4">
        <f t="shared" si="1245"/>
        <v>685411.05</v>
      </c>
      <c r="H2199" s="4">
        <f t="shared" si="1245"/>
        <v>318571.5</v>
      </c>
      <c r="I2199" s="4">
        <f t="shared" si="1245"/>
        <v>0</v>
      </c>
      <c r="J2199" s="4">
        <f t="shared" si="1245"/>
        <v>381468.95</v>
      </c>
      <c r="K2199" s="4">
        <f t="shared" si="1245"/>
        <v>0</v>
      </c>
      <c r="L2199" s="17">
        <f t="shared" si="1245"/>
        <v>0</v>
      </c>
      <c r="M2199" s="4">
        <f t="shared" si="1245"/>
        <v>0</v>
      </c>
      <c r="N2199" s="4">
        <f t="shared" si="1245"/>
        <v>676</v>
      </c>
      <c r="O2199" s="4">
        <f t="shared" si="1245"/>
        <v>5239000</v>
      </c>
      <c r="P2199" s="4">
        <f t="shared" si="1245"/>
        <v>0</v>
      </c>
      <c r="Q2199" s="4">
        <f t="shared" si="1245"/>
        <v>0</v>
      </c>
      <c r="R2199" s="4">
        <f t="shared" si="1245"/>
        <v>678</v>
      </c>
      <c r="S2199" s="4">
        <f t="shared" si="1245"/>
        <v>2543178</v>
      </c>
      <c r="T2199" s="4">
        <f t="shared" si="1245"/>
        <v>150000</v>
      </c>
      <c r="U2199" s="4">
        <f t="shared" si="1245"/>
        <v>100000</v>
      </c>
      <c r="V2199" s="4">
        <f t="shared" si="1245"/>
        <v>0</v>
      </c>
      <c r="W2199" s="4">
        <f t="shared" si="1245"/>
        <v>100000</v>
      </c>
      <c r="X2199" s="4">
        <f t="shared" si="1245"/>
        <v>0</v>
      </c>
      <c r="Y2199" s="4">
        <f t="shared" si="1245"/>
        <v>0</v>
      </c>
      <c r="Z2199" s="4">
        <f t="shared" si="1245"/>
        <v>0</v>
      </c>
      <c r="AA2199" s="4">
        <f t="shared" si="1245"/>
        <v>0</v>
      </c>
      <c r="AB2199" s="4">
        <f t="shared" si="1245"/>
        <v>0</v>
      </c>
      <c r="AC2199" s="4">
        <f t="shared" si="1245"/>
        <v>0</v>
      </c>
      <c r="AD2199" s="4">
        <f t="shared" si="1245"/>
        <v>0</v>
      </c>
    </row>
    <row r="2200" spans="1:30" s="20" customFormat="1" ht="36" customHeight="1" x14ac:dyDescent="0.25">
      <c r="A2200" s="2">
        <f>ROW()-ROW($A$11)-67</f>
        <v>2122</v>
      </c>
      <c r="B2200" s="3">
        <f t="shared" si="1237"/>
        <v>2122</v>
      </c>
      <c r="C2200" s="19" t="s">
        <v>1324</v>
      </c>
      <c r="D2200" s="4">
        <f>E2200+M2200+O2200+Q2200+S2200+T2200+U2200+V2200+W2200+X2200+Z2200+AA2200+AB2200+AC2200+AD2200</f>
        <v>4806170</v>
      </c>
      <c r="E2200" s="1">
        <f>SUM(F2200:K2200)</f>
        <v>684332</v>
      </c>
      <c r="F2200" s="1">
        <f>804*412</f>
        <v>331248</v>
      </c>
      <c r="G2200" s="1">
        <v>0</v>
      </c>
      <c r="H2200" s="1">
        <f>390*412</f>
        <v>160680</v>
      </c>
      <c r="I2200" s="1">
        <v>0</v>
      </c>
      <c r="J2200" s="1">
        <f>467*412</f>
        <v>192404</v>
      </c>
      <c r="K2200" s="1">
        <v>0</v>
      </c>
      <c r="L2200" s="2">
        <v>0</v>
      </c>
      <c r="M2200" s="1">
        <v>0</v>
      </c>
      <c r="N2200" s="1">
        <v>336</v>
      </c>
      <c r="O2200" s="1">
        <f>N2200*7750</f>
        <v>2604000</v>
      </c>
      <c r="P2200" s="1">
        <v>0</v>
      </c>
      <c r="Q2200" s="1">
        <f>P2200*1400</f>
        <v>0</v>
      </c>
      <c r="R2200" s="1">
        <v>338</v>
      </c>
      <c r="S2200" s="1">
        <f>R2200*3751</f>
        <v>1267838</v>
      </c>
      <c r="T2200" s="1">
        <v>150000</v>
      </c>
      <c r="U2200" s="1">
        <v>50000</v>
      </c>
      <c r="V2200" s="1">
        <v>0</v>
      </c>
      <c r="W2200" s="1">
        <v>50000</v>
      </c>
      <c r="X2200" s="1">
        <v>0</v>
      </c>
      <c r="Y2200" s="1">
        <v>0</v>
      </c>
      <c r="Z2200" s="1">
        <v>0</v>
      </c>
      <c r="AA2200" s="1">
        <v>0</v>
      </c>
      <c r="AB2200" s="1">
        <v>0</v>
      </c>
      <c r="AC2200" s="1">
        <v>0</v>
      </c>
      <c r="AD2200" s="1">
        <v>0</v>
      </c>
    </row>
    <row r="2201" spans="1:30" s="20" customFormat="1" ht="36" customHeight="1" x14ac:dyDescent="0.25">
      <c r="A2201" s="2">
        <f>ROW()-ROW($A$11)-67</f>
        <v>2123</v>
      </c>
      <c r="B2201" s="3">
        <f t="shared" si="1237"/>
        <v>2123</v>
      </c>
      <c r="C2201" s="19" t="s">
        <v>1325</v>
      </c>
      <c r="D2201" s="4">
        <f>E2201+M2201+O2201+Q2201+S2201+T2201+U2201+V2201+W2201+X2201+Z2201+AA2201+AB2201+AC2201+AD2201</f>
        <v>5368206.9000000004</v>
      </c>
      <c r="E2201" s="1">
        <f>SUM(F2201:K2201)</f>
        <v>1357866.9000000001</v>
      </c>
      <c r="F2201" s="1">
        <f>804*404.85</f>
        <v>325499.40000000002</v>
      </c>
      <c r="G2201" s="1">
        <f>1693*404.85</f>
        <v>685411.05</v>
      </c>
      <c r="H2201" s="1">
        <f>390*404.85</f>
        <v>157891.5</v>
      </c>
      <c r="I2201" s="1">
        <v>0</v>
      </c>
      <c r="J2201" s="1">
        <f>467*404.85</f>
        <v>189064.95</v>
      </c>
      <c r="K2201" s="1">
        <v>0</v>
      </c>
      <c r="L2201" s="2">
        <v>0</v>
      </c>
      <c r="M2201" s="1">
        <v>0</v>
      </c>
      <c r="N2201" s="1">
        <v>340</v>
      </c>
      <c r="O2201" s="1">
        <f>N2201*7750</f>
        <v>2635000</v>
      </c>
      <c r="P2201" s="1">
        <v>0</v>
      </c>
      <c r="Q2201" s="1">
        <f>P2201*1400</f>
        <v>0</v>
      </c>
      <c r="R2201" s="1">
        <v>340</v>
      </c>
      <c r="S2201" s="1">
        <f>R2201*3751</f>
        <v>1275340</v>
      </c>
      <c r="T2201" s="1">
        <v>0</v>
      </c>
      <c r="U2201" s="1">
        <v>50000</v>
      </c>
      <c r="V2201" s="1">
        <v>0</v>
      </c>
      <c r="W2201" s="1">
        <v>50000</v>
      </c>
      <c r="X2201" s="1">
        <v>0</v>
      </c>
      <c r="Y2201" s="1">
        <v>0</v>
      </c>
      <c r="Z2201" s="1">
        <v>0</v>
      </c>
      <c r="AA2201" s="1">
        <v>0</v>
      </c>
      <c r="AB2201" s="1">
        <v>0</v>
      </c>
      <c r="AC2201" s="1">
        <v>0</v>
      </c>
      <c r="AD2201" s="1">
        <v>0</v>
      </c>
    </row>
    <row r="2202" spans="1:30" s="20" customFormat="1" ht="54.95" customHeight="1" x14ac:dyDescent="0.25">
      <c r="A2202" s="3"/>
      <c r="B2202" s="47" t="s">
        <v>1978</v>
      </c>
      <c r="C2202" s="48"/>
      <c r="D2202" s="4">
        <f>SUM(D2203:D2241)</f>
        <v>319671115.69999999</v>
      </c>
      <c r="E2202" s="4">
        <f t="shared" ref="E2202:AD2202" si="1246">SUM(E2203:E2241)</f>
        <v>136760719.10000002</v>
      </c>
      <c r="F2202" s="4">
        <f t="shared" si="1246"/>
        <v>35159884.800000004</v>
      </c>
      <c r="G2202" s="4">
        <f t="shared" si="1246"/>
        <v>64389191.800000004</v>
      </c>
      <c r="H2202" s="4">
        <f t="shared" si="1246"/>
        <v>16056534</v>
      </c>
      <c r="I2202" s="4">
        <f t="shared" si="1246"/>
        <v>1928438.3</v>
      </c>
      <c r="J2202" s="4">
        <f t="shared" si="1246"/>
        <v>19226670.200000003</v>
      </c>
      <c r="K2202" s="4">
        <f t="shared" si="1246"/>
        <v>0</v>
      </c>
      <c r="L2202" s="17">
        <f t="shared" si="1246"/>
        <v>0</v>
      </c>
      <c r="M2202" s="4">
        <f t="shared" si="1246"/>
        <v>0</v>
      </c>
      <c r="N2202" s="4">
        <f t="shared" si="1246"/>
        <v>15588.800000000001</v>
      </c>
      <c r="O2202" s="4">
        <f t="shared" si="1246"/>
        <v>101394840</v>
      </c>
      <c r="P2202" s="4">
        <f t="shared" si="1246"/>
        <v>50</v>
      </c>
      <c r="Q2202" s="4">
        <f t="shared" si="1246"/>
        <v>70000</v>
      </c>
      <c r="R2202" s="4">
        <f t="shared" si="1246"/>
        <v>20806.600000000002</v>
      </c>
      <c r="S2202" s="4">
        <f t="shared" si="1246"/>
        <v>78045556.600000009</v>
      </c>
      <c r="T2202" s="4">
        <f t="shared" si="1246"/>
        <v>150000</v>
      </c>
      <c r="U2202" s="4">
        <f t="shared" si="1246"/>
        <v>1650000</v>
      </c>
      <c r="V2202" s="4">
        <f t="shared" si="1246"/>
        <v>0</v>
      </c>
      <c r="W2202" s="4">
        <f t="shared" si="1246"/>
        <v>1600000</v>
      </c>
      <c r="X2202" s="4">
        <f t="shared" si="1246"/>
        <v>0</v>
      </c>
      <c r="Y2202" s="4">
        <f t="shared" si="1246"/>
        <v>0</v>
      </c>
      <c r="Z2202" s="4">
        <f t="shared" si="1246"/>
        <v>0</v>
      </c>
      <c r="AA2202" s="4">
        <f t="shared" si="1246"/>
        <v>0</v>
      </c>
      <c r="AB2202" s="4">
        <f t="shared" si="1246"/>
        <v>0</v>
      </c>
      <c r="AC2202" s="4">
        <f t="shared" si="1246"/>
        <v>0</v>
      </c>
      <c r="AD2202" s="4">
        <f t="shared" si="1246"/>
        <v>0</v>
      </c>
    </row>
    <row r="2203" spans="1:30" s="20" customFormat="1" ht="36" customHeight="1" x14ac:dyDescent="0.25">
      <c r="A2203" s="2">
        <f>ROW()-ROW($A$11)-68</f>
        <v>2124</v>
      </c>
      <c r="B2203" s="3">
        <f t="shared" si="1237"/>
        <v>2124</v>
      </c>
      <c r="C2203" s="19" t="s">
        <v>1326</v>
      </c>
      <c r="D2203" s="4">
        <f t="shared" ref="D2203:D2241" si="1247">E2203+M2203+O2203+Q2203+S2203+T2203+U2203+V2203+W2203+X2203+Z2203+AA2203+AB2203+AC2203+AD2203</f>
        <v>17834042.5</v>
      </c>
      <c r="E2203" s="1">
        <f t="shared" ref="E2203:E2214" si="1248">SUM(F2203:K2203)</f>
        <v>13255902.500000002</v>
      </c>
      <c r="F2203" s="1">
        <f>804*3377.3</f>
        <v>2715349.2</v>
      </c>
      <c r="G2203" s="1">
        <f>1693*3377.3</f>
        <v>5717768.9000000004</v>
      </c>
      <c r="H2203" s="1">
        <f>390*3377.3</f>
        <v>1317147</v>
      </c>
      <c r="I2203" s="1">
        <f>571*3377.3</f>
        <v>1928438.3</v>
      </c>
      <c r="J2203" s="1">
        <f>467*3377.3</f>
        <v>1577199.1</v>
      </c>
      <c r="K2203" s="1">
        <v>0</v>
      </c>
      <c r="L2203" s="2">
        <v>0</v>
      </c>
      <c r="M2203" s="1">
        <v>0</v>
      </c>
      <c r="N2203" s="1">
        <v>540</v>
      </c>
      <c r="O2203" s="1">
        <f>N2203*4968</f>
        <v>2682720</v>
      </c>
      <c r="P2203" s="1">
        <v>50</v>
      </c>
      <c r="Q2203" s="1">
        <f t="shared" ref="Q2203:Q2214" si="1249">P2203*1400</f>
        <v>70000</v>
      </c>
      <c r="R2203" s="1">
        <v>420</v>
      </c>
      <c r="S2203" s="1">
        <f t="shared" ref="S2203:S2215" si="1250">R2203*3751</f>
        <v>1575420</v>
      </c>
      <c r="T2203" s="1">
        <v>150000</v>
      </c>
      <c r="U2203" s="1">
        <v>50000</v>
      </c>
      <c r="V2203" s="1">
        <v>0</v>
      </c>
      <c r="W2203" s="1">
        <v>50000</v>
      </c>
      <c r="X2203" s="1">
        <v>0</v>
      </c>
      <c r="Y2203" s="1">
        <v>0</v>
      </c>
      <c r="Z2203" s="1">
        <v>0</v>
      </c>
      <c r="AA2203" s="1">
        <v>0</v>
      </c>
      <c r="AB2203" s="1">
        <v>0</v>
      </c>
      <c r="AC2203" s="1">
        <v>0</v>
      </c>
      <c r="AD2203" s="1">
        <v>0</v>
      </c>
    </row>
    <row r="2204" spans="1:30" s="20" customFormat="1" ht="36" customHeight="1" x14ac:dyDescent="0.25">
      <c r="A2204" s="2">
        <f t="shared" ref="A2204:A2241" si="1251">ROW()-ROW($A$11)-68</f>
        <v>2125</v>
      </c>
      <c r="B2204" s="3">
        <f t="shared" si="1237"/>
        <v>2125</v>
      </c>
      <c r="C2204" s="19" t="s">
        <v>1327</v>
      </c>
      <c r="D2204" s="4">
        <f t="shared" si="1247"/>
        <v>16347133.600000001</v>
      </c>
      <c r="E2204" s="1">
        <f t="shared" si="1248"/>
        <v>5040726.6000000006</v>
      </c>
      <c r="F2204" s="1">
        <f>804*1502.9</f>
        <v>1208331.6000000001</v>
      </c>
      <c r="G2204" s="1">
        <f>1693*1502.9</f>
        <v>2544409.7000000002</v>
      </c>
      <c r="H2204" s="1">
        <f>390*1502.9</f>
        <v>586131</v>
      </c>
      <c r="I2204" s="1">
        <v>0</v>
      </c>
      <c r="J2204" s="1">
        <f>467*1502.9</f>
        <v>701854.3</v>
      </c>
      <c r="K2204" s="1">
        <v>0</v>
      </c>
      <c r="L2204" s="2">
        <v>0</v>
      </c>
      <c r="M2204" s="1">
        <v>0</v>
      </c>
      <c r="N2204" s="1">
        <v>886</v>
      </c>
      <c r="O2204" s="1">
        <f>N2204*7750</f>
        <v>6866500</v>
      </c>
      <c r="P2204" s="1">
        <v>0</v>
      </c>
      <c r="Q2204" s="1">
        <f t="shared" si="1249"/>
        <v>0</v>
      </c>
      <c r="R2204" s="1">
        <v>1157</v>
      </c>
      <c r="S2204" s="1">
        <f t="shared" si="1250"/>
        <v>4339907</v>
      </c>
      <c r="T2204" s="1">
        <v>0</v>
      </c>
      <c r="U2204" s="1">
        <v>50000</v>
      </c>
      <c r="V2204" s="1">
        <v>0</v>
      </c>
      <c r="W2204" s="1">
        <v>50000</v>
      </c>
      <c r="X2204" s="1">
        <v>0</v>
      </c>
      <c r="Y2204" s="1">
        <v>0</v>
      </c>
      <c r="Z2204" s="1">
        <v>0</v>
      </c>
      <c r="AA2204" s="1">
        <v>0</v>
      </c>
      <c r="AB2204" s="1">
        <v>0</v>
      </c>
      <c r="AC2204" s="1">
        <v>0</v>
      </c>
      <c r="AD2204" s="1">
        <v>0</v>
      </c>
    </row>
    <row r="2205" spans="1:30" s="20" customFormat="1" ht="36" customHeight="1" x14ac:dyDescent="0.25">
      <c r="A2205" s="2">
        <f t="shared" si="1251"/>
        <v>2126</v>
      </c>
      <c r="B2205" s="3">
        <f t="shared" si="1237"/>
        <v>2126</v>
      </c>
      <c r="C2205" s="19" t="s">
        <v>1328</v>
      </c>
      <c r="D2205" s="4">
        <f t="shared" si="1247"/>
        <v>5514749.4000000004</v>
      </c>
      <c r="E2205" s="1">
        <f t="shared" si="1248"/>
        <v>1343612.4000000001</v>
      </c>
      <c r="F2205" s="1">
        <f>804*400.6</f>
        <v>322082.40000000002</v>
      </c>
      <c r="G2205" s="1">
        <f>1693*400.6</f>
        <v>678215.8</v>
      </c>
      <c r="H2205" s="1">
        <f>390*400.6</f>
        <v>156234</v>
      </c>
      <c r="I2205" s="1">
        <v>0</v>
      </c>
      <c r="J2205" s="1">
        <f>467*400.6</f>
        <v>187080.2</v>
      </c>
      <c r="K2205" s="1">
        <v>0</v>
      </c>
      <c r="L2205" s="2">
        <v>0</v>
      </c>
      <c r="M2205" s="1">
        <v>0</v>
      </c>
      <c r="N2205" s="1">
        <v>338</v>
      </c>
      <c r="O2205" s="1">
        <f>N2205*7750</f>
        <v>2619500</v>
      </c>
      <c r="P2205" s="1">
        <v>0</v>
      </c>
      <c r="Q2205" s="1">
        <f t="shared" si="1249"/>
        <v>0</v>
      </c>
      <c r="R2205" s="1">
        <v>387</v>
      </c>
      <c r="S2205" s="1">
        <f t="shared" si="1250"/>
        <v>1451637</v>
      </c>
      <c r="T2205" s="1">
        <v>0</v>
      </c>
      <c r="U2205" s="1">
        <v>50000</v>
      </c>
      <c r="V2205" s="1">
        <v>0</v>
      </c>
      <c r="W2205" s="1">
        <v>50000</v>
      </c>
      <c r="X2205" s="1">
        <v>0</v>
      </c>
      <c r="Y2205" s="1">
        <v>0</v>
      </c>
      <c r="Z2205" s="1">
        <v>0</v>
      </c>
      <c r="AA2205" s="1">
        <v>0</v>
      </c>
      <c r="AB2205" s="1">
        <v>0</v>
      </c>
      <c r="AC2205" s="1">
        <v>0</v>
      </c>
      <c r="AD2205" s="1">
        <v>0</v>
      </c>
    </row>
    <row r="2206" spans="1:30" s="20" customFormat="1" ht="36" customHeight="1" x14ac:dyDescent="0.25">
      <c r="A2206" s="2">
        <f t="shared" si="1251"/>
        <v>2127</v>
      </c>
      <c r="B2206" s="3">
        <f t="shared" si="1237"/>
        <v>2127</v>
      </c>
      <c r="C2206" s="19" t="s">
        <v>1329</v>
      </c>
      <c r="D2206" s="4">
        <f t="shared" si="1247"/>
        <v>5935093.5999999996</v>
      </c>
      <c r="E2206" s="1">
        <f t="shared" si="1248"/>
        <v>1275861.5999999999</v>
      </c>
      <c r="F2206" s="1">
        <f>804*380.4</f>
        <v>305841.59999999998</v>
      </c>
      <c r="G2206" s="1">
        <f>1693*380.4</f>
        <v>644017.19999999995</v>
      </c>
      <c r="H2206" s="1">
        <f>390*380.4</f>
        <v>148356</v>
      </c>
      <c r="I2206" s="1">
        <v>0</v>
      </c>
      <c r="J2206" s="1">
        <f>467*380.4</f>
        <v>177646.8</v>
      </c>
      <c r="K2206" s="1">
        <v>0</v>
      </c>
      <c r="L2206" s="2">
        <v>0</v>
      </c>
      <c r="M2206" s="1">
        <v>0</v>
      </c>
      <c r="N2206" s="1">
        <v>355</v>
      </c>
      <c r="O2206" s="1">
        <f>N2206*7750</f>
        <v>2751250</v>
      </c>
      <c r="P2206" s="1">
        <v>0</v>
      </c>
      <c r="Q2206" s="1">
        <f t="shared" si="1249"/>
        <v>0</v>
      </c>
      <c r="R2206" s="1">
        <v>482</v>
      </c>
      <c r="S2206" s="1">
        <f t="shared" si="1250"/>
        <v>1807982</v>
      </c>
      <c r="T2206" s="1">
        <v>0</v>
      </c>
      <c r="U2206" s="1">
        <v>50000</v>
      </c>
      <c r="V2206" s="1">
        <v>0</v>
      </c>
      <c r="W2206" s="1">
        <v>50000</v>
      </c>
      <c r="X2206" s="1">
        <v>0</v>
      </c>
      <c r="Y2206" s="1">
        <v>0</v>
      </c>
      <c r="Z2206" s="1">
        <v>0</v>
      </c>
      <c r="AA2206" s="1">
        <v>0</v>
      </c>
      <c r="AB2206" s="1">
        <v>0</v>
      </c>
      <c r="AC2206" s="1">
        <v>0</v>
      </c>
      <c r="AD2206" s="1">
        <v>0</v>
      </c>
    </row>
    <row r="2207" spans="1:30" s="20" customFormat="1" ht="36" customHeight="1" x14ac:dyDescent="0.25">
      <c r="A2207" s="2">
        <f t="shared" si="1251"/>
        <v>2128</v>
      </c>
      <c r="B2207" s="3">
        <f t="shared" si="1237"/>
        <v>2128</v>
      </c>
      <c r="C2207" s="19" t="s">
        <v>1330</v>
      </c>
      <c r="D2207" s="4">
        <f t="shared" si="1247"/>
        <v>13197787.799999999</v>
      </c>
      <c r="E2207" s="1">
        <f t="shared" si="1248"/>
        <v>7047424.7999999989</v>
      </c>
      <c r="F2207" s="1">
        <f>804*2101.2</f>
        <v>1689364.7999999998</v>
      </c>
      <c r="G2207" s="1">
        <f>1693*2101.2</f>
        <v>3557331.5999999996</v>
      </c>
      <c r="H2207" s="1">
        <f>390*2101.2</f>
        <v>819467.99999999988</v>
      </c>
      <c r="I2207" s="1">
        <v>0</v>
      </c>
      <c r="J2207" s="1">
        <f>467*2101.2</f>
        <v>981260.39999999991</v>
      </c>
      <c r="K2207" s="1">
        <v>0</v>
      </c>
      <c r="L2207" s="2">
        <v>0</v>
      </c>
      <c r="M2207" s="1">
        <v>0</v>
      </c>
      <c r="N2207" s="1">
        <v>0</v>
      </c>
      <c r="O2207" s="1">
        <v>0</v>
      </c>
      <c r="P2207" s="1">
        <v>0</v>
      </c>
      <c r="Q2207" s="1">
        <f t="shared" si="1249"/>
        <v>0</v>
      </c>
      <c r="R2207" s="1">
        <v>1613</v>
      </c>
      <c r="S2207" s="1">
        <f t="shared" si="1250"/>
        <v>6050363</v>
      </c>
      <c r="T2207" s="1">
        <v>0</v>
      </c>
      <c r="U2207" s="1">
        <v>50000</v>
      </c>
      <c r="V2207" s="1">
        <v>0</v>
      </c>
      <c r="W2207" s="1">
        <v>50000</v>
      </c>
      <c r="X2207" s="1">
        <v>0</v>
      </c>
      <c r="Y2207" s="1">
        <v>0</v>
      </c>
      <c r="Z2207" s="1">
        <v>0</v>
      </c>
      <c r="AA2207" s="1">
        <v>0</v>
      </c>
      <c r="AB2207" s="1">
        <v>0</v>
      </c>
      <c r="AC2207" s="1">
        <v>0</v>
      </c>
      <c r="AD2207" s="1">
        <v>0</v>
      </c>
    </row>
    <row r="2208" spans="1:30" s="20" customFormat="1" ht="36" customHeight="1" x14ac:dyDescent="0.25">
      <c r="A2208" s="2">
        <f t="shared" si="1251"/>
        <v>2129</v>
      </c>
      <c r="B2208" s="3">
        <f t="shared" si="1237"/>
        <v>2129</v>
      </c>
      <c r="C2208" s="19" t="s">
        <v>1331</v>
      </c>
      <c r="D2208" s="4">
        <f t="shared" si="1247"/>
        <v>19907713.199999999</v>
      </c>
      <c r="E2208" s="1">
        <f t="shared" si="1248"/>
        <v>6690559.1999999993</v>
      </c>
      <c r="F2208" s="1">
        <f>804*1994.8</f>
        <v>1603819.2</v>
      </c>
      <c r="G2208" s="1">
        <f>1693*1994.8</f>
        <v>3377196.4</v>
      </c>
      <c r="H2208" s="1">
        <f>390*1994.8</f>
        <v>777972</v>
      </c>
      <c r="I2208" s="1">
        <v>0</v>
      </c>
      <c r="J2208" s="1">
        <f>467*1994.8</f>
        <v>931571.6</v>
      </c>
      <c r="K2208" s="1">
        <v>0</v>
      </c>
      <c r="L2208" s="2">
        <v>0</v>
      </c>
      <c r="M2208" s="1">
        <v>0</v>
      </c>
      <c r="N2208" s="1">
        <v>892</v>
      </c>
      <c r="O2208" s="1">
        <f>N2208*7750</f>
        <v>6913000</v>
      </c>
      <c r="P2208" s="1">
        <v>0</v>
      </c>
      <c r="Q2208" s="1">
        <f t="shared" si="1249"/>
        <v>0</v>
      </c>
      <c r="R2208" s="1">
        <v>1654</v>
      </c>
      <c r="S2208" s="1">
        <f t="shared" si="1250"/>
        <v>6204154</v>
      </c>
      <c r="T2208" s="1">
        <v>0</v>
      </c>
      <c r="U2208" s="1">
        <v>50000</v>
      </c>
      <c r="V2208" s="1">
        <v>0</v>
      </c>
      <c r="W2208" s="1">
        <v>50000</v>
      </c>
      <c r="X2208" s="1">
        <v>0</v>
      </c>
      <c r="Y2208" s="1">
        <v>0</v>
      </c>
      <c r="Z2208" s="1">
        <v>0</v>
      </c>
      <c r="AA2208" s="1">
        <v>0</v>
      </c>
      <c r="AB2208" s="1">
        <v>0</v>
      </c>
      <c r="AC2208" s="1">
        <v>0</v>
      </c>
      <c r="AD2208" s="1">
        <v>0</v>
      </c>
    </row>
    <row r="2209" spans="1:30" s="20" customFormat="1" ht="36" customHeight="1" x14ac:dyDescent="0.25">
      <c r="A2209" s="2">
        <f t="shared" si="1251"/>
        <v>2130</v>
      </c>
      <c r="B2209" s="6">
        <f t="shared" si="1237"/>
        <v>2130</v>
      </c>
      <c r="C2209" s="19" t="s">
        <v>2080</v>
      </c>
      <c r="D2209" s="4">
        <f t="shared" si="1247"/>
        <v>813967</v>
      </c>
      <c r="E2209" s="1">
        <f t="shared" si="1248"/>
        <v>0</v>
      </c>
      <c r="F2209" s="7">
        <v>0</v>
      </c>
      <c r="G2209" s="7">
        <v>0</v>
      </c>
      <c r="H2209" s="7">
        <v>0</v>
      </c>
      <c r="I2209" s="1">
        <v>0</v>
      </c>
      <c r="J2209" s="7">
        <v>0</v>
      </c>
      <c r="K2209" s="1">
        <v>0</v>
      </c>
      <c r="L2209" s="2">
        <v>0</v>
      </c>
      <c r="M2209" s="1">
        <v>0</v>
      </c>
      <c r="N2209" s="1">
        <v>0</v>
      </c>
      <c r="O2209" s="1">
        <v>0</v>
      </c>
      <c r="P2209" s="1">
        <v>0</v>
      </c>
      <c r="Q2209" s="1">
        <f t="shared" si="1249"/>
        <v>0</v>
      </c>
      <c r="R2209" s="1">
        <v>217</v>
      </c>
      <c r="S2209" s="1">
        <f t="shared" si="1250"/>
        <v>813967</v>
      </c>
      <c r="T2209" s="1">
        <v>0</v>
      </c>
      <c r="U2209" s="1">
        <v>0</v>
      </c>
      <c r="V2209" s="1">
        <v>0</v>
      </c>
      <c r="W2209" s="1">
        <v>0</v>
      </c>
      <c r="X2209" s="1">
        <v>0</v>
      </c>
      <c r="Y2209" s="1">
        <v>0</v>
      </c>
      <c r="Z2209" s="1">
        <v>0</v>
      </c>
      <c r="AA2209" s="1">
        <v>0</v>
      </c>
      <c r="AB2209" s="1">
        <v>0</v>
      </c>
      <c r="AC2209" s="1">
        <v>0</v>
      </c>
      <c r="AD2209" s="1">
        <v>0</v>
      </c>
    </row>
    <row r="2210" spans="1:30" s="20" customFormat="1" ht="36" customHeight="1" x14ac:dyDescent="0.25">
      <c r="A2210" s="2">
        <f t="shared" si="1251"/>
        <v>2131</v>
      </c>
      <c r="B2210" s="3">
        <f t="shared" si="1237"/>
        <v>2131</v>
      </c>
      <c r="C2210" s="19" t="s">
        <v>1332</v>
      </c>
      <c r="D2210" s="4">
        <f t="shared" si="1247"/>
        <v>10078449</v>
      </c>
      <c r="E2210" s="1">
        <f t="shared" si="1248"/>
        <v>2468544</v>
      </c>
      <c r="F2210" s="1">
        <f>804*736</f>
        <v>591744</v>
      </c>
      <c r="G2210" s="1">
        <f>1693*736</f>
        <v>1246048</v>
      </c>
      <c r="H2210" s="1">
        <f>390*736</f>
        <v>287040</v>
      </c>
      <c r="I2210" s="1">
        <v>0</v>
      </c>
      <c r="J2210" s="1">
        <f>467*736</f>
        <v>343712</v>
      </c>
      <c r="K2210" s="1">
        <v>0</v>
      </c>
      <c r="L2210" s="2">
        <v>0</v>
      </c>
      <c r="M2210" s="1">
        <v>0</v>
      </c>
      <c r="N2210" s="1">
        <v>652</v>
      </c>
      <c r="O2210" s="1">
        <f>N2210*7750</f>
        <v>5053000</v>
      </c>
      <c r="P2210" s="1">
        <v>0</v>
      </c>
      <c r="Q2210" s="1">
        <f t="shared" si="1249"/>
        <v>0</v>
      </c>
      <c r="R2210" s="1">
        <v>655</v>
      </c>
      <c r="S2210" s="1">
        <f t="shared" si="1250"/>
        <v>2456905</v>
      </c>
      <c r="T2210" s="1">
        <v>0</v>
      </c>
      <c r="U2210" s="1">
        <v>50000</v>
      </c>
      <c r="V2210" s="1">
        <v>0</v>
      </c>
      <c r="W2210" s="1">
        <v>50000</v>
      </c>
      <c r="X2210" s="1">
        <v>0</v>
      </c>
      <c r="Y2210" s="1">
        <v>0</v>
      </c>
      <c r="Z2210" s="1">
        <v>0</v>
      </c>
      <c r="AA2210" s="1">
        <v>0</v>
      </c>
      <c r="AB2210" s="1">
        <v>0</v>
      </c>
      <c r="AC2210" s="1">
        <v>0</v>
      </c>
      <c r="AD2210" s="1">
        <v>0</v>
      </c>
    </row>
    <row r="2211" spans="1:30" s="20" customFormat="1" ht="36" customHeight="1" x14ac:dyDescent="0.25">
      <c r="A2211" s="2">
        <f t="shared" si="1251"/>
        <v>2132</v>
      </c>
      <c r="B2211" s="3">
        <f t="shared" si="1237"/>
        <v>2132</v>
      </c>
      <c r="C2211" s="19" t="s">
        <v>1333</v>
      </c>
      <c r="D2211" s="4">
        <f t="shared" si="1247"/>
        <v>10165261.199999999</v>
      </c>
      <c r="E2211" s="1">
        <f t="shared" si="1248"/>
        <v>2451103.1999999997</v>
      </c>
      <c r="F2211" s="1">
        <f>804*730.8</f>
        <v>587563.19999999995</v>
      </c>
      <c r="G2211" s="1">
        <f>1693*730.8</f>
        <v>1237244.3999999999</v>
      </c>
      <c r="H2211" s="1">
        <f>390*730.8</f>
        <v>285012</v>
      </c>
      <c r="I2211" s="1">
        <v>0</v>
      </c>
      <c r="J2211" s="1">
        <f>467*730.8</f>
        <v>341283.6</v>
      </c>
      <c r="K2211" s="1">
        <v>0</v>
      </c>
      <c r="L2211" s="2">
        <v>0</v>
      </c>
      <c r="M2211" s="1">
        <v>0</v>
      </c>
      <c r="N2211" s="1">
        <v>664</v>
      </c>
      <c r="O2211" s="1">
        <f>N2211*7750</f>
        <v>5146000</v>
      </c>
      <c r="P2211" s="1">
        <v>0</v>
      </c>
      <c r="Q2211" s="1">
        <f t="shared" si="1249"/>
        <v>0</v>
      </c>
      <c r="R2211" s="1">
        <v>658</v>
      </c>
      <c r="S2211" s="1">
        <f t="shared" si="1250"/>
        <v>2468158</v>
      </c>
      <c r="T2211" s="1">
        <v>0</v>
      </c>
      <c r="U2211" s="1">
        <v>50000</v>
      </c>
      <c r="V2211" s="1">
        <v>0</v>
      </c>
      <c r="W2211" s="1">
        <v>50000</v>
      </c>
      <c r="X2211" s="1">
        <v>0</v>
      </c>
      <c r="Y2211" s="1">
        <v>0</v>
      </c>
      <c r="Z2211" s="1">
        <v>0</v>
      </c>
      <c r="AA2211" s="1">
        <v>0</v>
      </c>
      <c r="AB2211" s="1">
        <v>0</v>
      </c>
      <c r="AC2211" s="1">
        <v>0</v>
      </c>
      <c r="AD2211" s="1">
        <v>0</v>
      </c>
    </row>
    <row r="2212" spans="1:30" s="20" customFormat="1" ht="36" customHeight="1" x14ac:dyDescent="0.25">
      <c r="A2212" s="2">
        <f t="shared" si="1251"/>
        <v>2133</v>
      </c>
      <c r="B2212" s="3">
        <f t="shared" si="1237"/>
        <v>2133</v>
      </c>
      <c r="C2212" s="19" t="s">
        <v>1334</v>
      </c>
      <c r="D2212" s="4">
        <f t="shared" si="1247"/>
        <v>10069959.199999999</v>
      </c>
      <c r="E2212" s="1">
        <f t="shared" si="1248"/>
        <v>2429302.1999999997</v>
      </c>
      <c r="F2212" s="1">
        <f>804*724.3</f>
        <v>582337.19999999995</v>
      </c>
      <c r="G2212" s="1">
        <f>1693*724.3</f>
        <v>1226239.8999999999</v>
      </c>
      <c r="H2212" s="1">
        <f>390*724.3</f>
        <v>282477</v>
      </c>
      <c r="I2212" s="1">
        <v>0</v>
      </c>
      <c r="J2212" s="1">
        <f>467*724.3</f>
        <v>338248.1</v>
      </c>
      <c r="K2212" s="1">
        <v>0</v>
      </c>
      <c r="L2212" s="2">
        <v>0</v>
      </c>
      <c r="M2212" s="1">
        <v>0</v>
      </c>
      <c r="N2212" s="1">
        <v>655</v>
      </c>
      <c r="O2212" s="1">
        <f>N2212*7750</f>
        <v>5076250</v>
      </c>
      <c r="P2212" s="1">
        <v>0</v>
      </c>
      <c r="Q2212" s="1">
        <f t="shared" si="1249"/>
        <v>0</v>
      </c>
      <c r="R2212" s="1">
        <v>657</v>
      </c>
      <c r="S2212" s="1">
        <f t="shared" si="1250"/>
        <v>2464407</v>
      </c>
      <c r="T2212" s="1">
        <v>0</v>
      </c>
      <c r="U2212" s="1">
        <v>50000</v>
      </c>
      <c r="V2212" s="1">
        <v>0</v>
      </c>
      <c r="W2212" s="1">
        <v>50000</v>
      </c>
      <c r="X2212" s="1">
        <v>0</v>
      </c>
      <c r="Y2212" s="1">
        <v>0</v>
      </c>
      <c r="Z2212" s="1">
        <v>0</v>
      </c>
      <c r="AA2212" s="1">
        <v>0</v>
      </c>
      <c r="AB2212" s="1">
        <v>0</v>
      </c>
      <c r="AC2212" s="1">
        <v>0</v>
      </c>
      <c r="AD2212" s="1">
        <v>0</v>
      </c>
    </row>
    <row r="2213" spans="1:30" s="20" customFormat="1" ht="36" customHeight="1" x14ac:dyDescent="0.25">
      <c r="A2213" s="2">
        <f t="shared" si="1251"/>
        <v>2134</v>
      </c>
      <c r="B2213" s="3">
        <f t="shared" si="1237"/>
        <v>2134</v>
      </c>
      <c r="C2213" s="19" t="s">
        <v>1335</v>
      </c>
      <c r="D2213" s="4">
        <f t="shared" si="1247"/>
        <v>4970594</v>
      </c>
      <c r="E2213" s="1">
        <f t="shared" si="1248"/>
        <v>2424942</v>
      </c>
      <c r="F2213" s="1">
        <f>804*723</f>
        <v>581292</v>
      </c>
      <c r="G2213" s="1">
        <f>1693*723</f>
        <v>1224039</v>
      </c>
      <c r="H2213" s="1">
        <f>390*723</f>
        <v>281970</v>
      </c>
      <c r="I2213" s="1">
        <v>0</v>
      </c>
      <c r="J2213" s="1">
        <f>467*723</f>
        <v>337641</v>
      </c>
      <c r="K2213" s="1">
        <v>0</v>
      </c>
      <c r="L2213" s="2">
        <v>0</v>
      </c>
      <c r="M2213" s="1">
        <v>0</v>
      </c>
      <c r="N2213" s="1">
        <v>0</v>
      </c>
      <c r="O2213" s="1">
        <v>0</v>
      </c>
      <c r="P2213" s="1">
        <v>0</v>
      </c>
      <c r="Q2213" s="1">
        <f t="shared" si="1249"/>
        <v>0</v>
      </c>
      <c r="R2213" s="1">
        <v>652</v>
      </c>
      <c r="S2213" s="1">
        <f t="shared" si="1250"/>
        <v>2445652</v>
      </c>
      <c r="T2213" s="1">
        <v>0</v>
      </c>
      <c r="U2213" s="1">
        <v>50000</v>
      </c>
      <c r="V2213" s="1">
        <v>0</v>
      </c>
      <c r="W2213" s="1">
        <v>50000</v>
      </c>
      <c r="X2213" s="1">
        <v>0</v>
      </c>
      <c r="Y2213" s="1">
        <v>0</v>
      </c>
      <c r="Z2213" s="1">
        <v>0</v>
      </c>
      <c r="AA2213" s="1">
        <v>0</v>
      </c>
      <c r="AB2213" s="1">
        <v>0</v>
      </c>
      <c r="AC2213" s="1">
        <v>0</v>
      </c>
      <c r="AD2213" s="1">
        <v>0</v>
      </c>
    </row>
    <row r="2214" spans="1:30" s="20" customFormat="1" ht="36" customHeight="1" x14ac:dyDescent="0.25">
      <c r="A2214" s="2">
        <f t="shared" si="1251"/>
        <v>2135</v>
      </c>
      <c r="B2214" s="3">
        <f t="shared" si="1237"/>
        <v>2135</v>
      </c>
      <c r="C2214" s="19" t="s">
        <v>1336</v>
      </c>
      <c r="D2214" s="4">
        <f t="shared" si="1247"/>
        <v>10152372.800000001</v>
      </c>
      <c r="E2214" s="1">
        <f t="shared" si="1248"/>
        <v>2469214.8000000003</v>
      </c>
      <c r="F2214" s="1">
        <f>804*736.2</f>
        <v>591904.80000000005</v>
      </c>
      <c r="G2214" s="1">
        <f>1693*736.2</f>
        <v>1246386.6000000001</v>
      </c>
      <c r="H2214" s="1">
        <f>390*736.2</f>
        <v>287118</v>
      </c>
      <c r="I2214" s="1">
        <v>0</v>
      </c>
      <c r="J2214" s="1">
        <f>467*736.2</f>
        <v>343805.4</v>
      </c>
      <c r="K2214" s="1">
        <v>0</v>
      </c>
      <c r="L2214" s="2">
        <v>0</v>
      </c>
      <c r="M2214" s="1">
        <v>0</v>
      </c>
      <c r="N2214" s="1">
        <v>660</v>
      </c>
      <c r="O2214" s="1">
        <f>N2214*7750</f>
        <v>5115000</v>
      </c>
      <c r="P2214" s="1">
        <v>0</v>
      </c>
      <c r="Q2214" s="1">
        <f t="shared" si="1249"/>
        <v>0</v>
      </c>
      <c r="R2214" s="1">
        <v>658</v>
      </c>
      <c r="S2214" s="1">
        <f t="shared" si="1250"/>
        <v>2468158</v>
      </c>
      <c r="T2214" s="1">
        <v>0</v>
      </c>
      <c r="U2214" s="1">
        <v>50000</v>
      </c>
      <c r="V2214" s="1">
        <v>0</v>
      </c>
      <c r="W2214" s="1">
        <v>50000</v>
      </c>
      <c r="X2214" s="1">
        <v>0</v>
      </c>
      <c r="Y2214" s="1">
        <v>0</v>
      </c>
      <c r="Z2214" s="1">
        <v>0</v>
      </c>
      <c r="AA2214" s="1">
        <v>0</v>
      </c>
      <c r="AB2214" s="1">
        <v>0</v>
      </c>
      <c r="AC2214" s="1">
        <v>0</v>
      </c>
      <c r="AD2214" s="1">
        <v>0</v>
      </c>
    </row>
    <row r="2215" spans="1:30" s="20" customFormat="1" ht="36" customHeight="1" x14ac:dyDescent="0.25">
      <c r="A2215" s="2">
        <f t="shared" si="1251"/>
        <v>2136</v>
      </c>
      <c r="B2215" s="3">
        <f>A2215</f>
        <v>2136</v>
      </c>
      <c r="C2215" s="19" t="s">
        <v>1671</v>
      </c>
      <c r="D2215" s="4">
        <f t="shared" si="1247"/>
        <v>1875500</v>
      </c>
      <c r="E2215" s="1">
        <f>SUM(F2215:K2215)</f>
        <v>0</v>
      </c>
      <c r="F2215" s="1">
        <v>0</v>
      </c>
      <c r="G2215" s="1">
        <v>0</v>
      </c>
      <c r="H2215" s="1">
        <v>0</v>
      </c>
      <c r="I2215" s="1">
        <v>0</v>
      </c>
      <c r="J2215" s="1">
        <v>0</v>
      </c>
      <c r="K2215" s="1">
        <v>0</v>
      </c>
      <c r="L2215" s="2">
        <v>0</v>
      </c>
      <c r="M2215" s="1">
        <v>0</v>
      </c>
      <c r="N2215" s="1">
        <v>0</v>
      </c>
      <c r="O2215" s="1">
        <v>0</v>
      </c>
      <c r="P2215" s="1">
        <v>0</v>
      </c>
      <c r="Q2215" s="1">
        <v>0</v>
      </c>
      <c r="R2215" s="1">
        <v>500</v>
      </c>
      <c r="S2215" s="1">
        <f t="shared" si="1250"/>
        <v>1875500</v>
      </c>
      <c r="T2215" s="1">
        <v>0</v>
      </c>
      <c r="U2215" s="1">
        <v>0</v>
      </c>
      <c r="V2215" s="1">
        <v>0</v>
      </c>
      <c r="W2215" s="1">
        <v>0</v>
      </c>
      <c r="X2215" s="1">
        <v>0</v>
      </c>
      <c r="Y2215" s="1">
        <v>0</v>
      </c>
      <c r="Z2215" s="1">
        <v>0</v>
      </c>
      <c r="AA2215" s="1">
        <v>0</v>
      </c>
      <c r="AB2215" s="1">
        <v>0</v>
      </c>
      <c r="AC2215" s="1">
        <v>0</v>
      </c>
      <c r="AD2215" s="1">
        <v>0</v>
      </c>
    </row>
    <row r="2216" spans="1:30" s="20" customFormat="1" ht="36" customHeight="1" x14ac:dyDescent="0.25">
      <c r="A2216" s="2">
        <f t="shared" si="1251"/>
        <v>2137</v>
      </c>
      <c r="B2216" s="3">
        <f t="shared" si="1237"/>
        <v>2137</v>
      </c>
      <c r="C2216" s="19" t="s">
        <v>1337</v>
      </c>
      <c r="D2216" s="4">
        <f t="shared" si="1247"/>
        <v>14115024.400000002</v>
      </c>
      <c r="E2216" s="1">
        <f>SUM(F2216:K2216)</f>
        <v>14015024.400000002</v>
      </c>
      <c r="F2216" s="1">
        <f>804*4178.6</f>
        <v>3359594.4000000004</v>
      </c>
      <c r="G2216" s="1">
        <f>1693*4178.6</f>
        <v>7074369.8000000007</v>
      </c>
      <c r="H2216" s="1">
        <f>390*4178.6</f>
        <v>1629654.0000000002</v>
      </c>
      <c r="I2216" s="1">
        <v>0</v>
      </c>
      <c r="J2216" s="1">
        <f>467*4178.6</f>
        <v>1951406.2000000002</v>
      </c>
      <c r="K2216" s="1">
        <v>0</v>
      </c>
      <c r="L2216" s="2">
        <v>0</v>
      </c>
      <c r="M2216" s="1">
        <v>0</v>
      </c>
      <c r="N2216" s="1">
        <v>0</v>
      </c>
      <c r="O2216" s="1">
        <v>0</v>
      </c>
      <c r="P2216" s="1">
        <v>0</v>
      </c>
      <c r="Q2216" s="1">
        <f>P2216*1400</f>
        <v>0</v>
      </c>
      <c r="R2216" s="1">
        <v>0</v>
      </c>
      <c r="S2216" s="1">
        <f>R2216*3751</f>
        <v>0</v>
      </c>
      <c r="T2216" s="1">
        <v>0</v>
      </c>
      <c r="U2216" s="1">
        <v>50000</v>
      </c>
      <c r="V2216" s="1">
        <v>0</v>
      </c>
      <c r="W2216" s="1">
        <v>50000</v>
      </c>
      <c r="X2216" s="1">
        <v>0</v>
      </c>
      <c r="Y2216" s="1">
        <v>0</v>
      </c>
      <c r="Z2216" s="1">
        <v>0</v>
      </c>
      <c r="AA2216" s="1">
        <v>0</v>
      </c>
      <c r="AB2216" s="1">
        <v>0</v>
      </c>
      <c r="AC2216" s="1">
        <v>0</v>
      </c>
      <c r="AD2216" s="1">
        <v>0</v>
      </c>
    </row>
    <row r="2217" spans="1:30" s="20" customFormat="1" ht="36" customHeight="1" x14ac:dyDescent="0.25">
      <c r="A2217" s="2">
        <f t="shared" si="1251"/>
        <v>2138</v>
      </c>
      <c r="B2217" s="3">
        <f t="shared" ref="B2217" si="1252">A2217</f>
        <v>2138</v>
      </c>
      <c r="C2217" s="19" t="s">
        <v>1781</v>
      </c>
      <c r="D2217" s="4">
        <f t="shared" si="1247"/>
        <v>5514800</v>
      </c>
      <c r="E2217" s="1">
        <f>SUM(F2217:K2217)</f>
        <v>0</v>
      </c>
      <c r="F2217" s="1">
        <v>0</v>
      </c>
      <c r="G2217" s="1">
        <v>0</v>
      </c>
      <c r="H2217" s="1">
        <v>0</v>
      </c>
      <c r="I2217" s="1">
        <v>0</v>
      </c>
      <c r="J2217" s="1">
        <v>0</v>
      </c>
      <c r="K2217" s="1">
        <v>0</v>
      </c>
      <c r="L2217" s="2">
        <v>0</v>
      </c>
      <c r="M2217" s="1">
        <v>0</v>
      </c>
      <c r="N2217" s="1">
        <v>1100</v>
      </c>
      <c r="O2217" s="1">
        <f>N2217*4968</f>
        <v>5464800</v>
      </c>
      <c r="P2217" s="1">
        <v>0</v>
      </c>
      <c r="Q2217" s="1">
        <f>P2217*1400</f>
        <v>0</v>
      </c>
      <c r="R2217" s="1">
        <v>0</v>
      </c>
      <c r="S2217" s="1">
        <f>R2217*3751</f>
        <v>0</v>
      </c>
      <c r="T2217" s="1">
        <v>0</v>
      </c>
      <c r="U2217" s="1">
        <v>0</v>
      </c>
      <c r="V2217" s="1">
        <v>0</v>
      </c>
      <c r="W2217" s="1">
        <v>50000</v>
      </c>
      <c r="X2217" s="1">
        <v>0</v>
      </c>
      <c r="Y2217" s="1">
        <v>0</v>
      </c>
      <c r="Z2217" s="1">
        <v>0</v>
      </c>
      <c r="AA2217" s="1">
        <v>0</v>
      </c>
      <c r="AB2217" s="1">
        <v>0</v>
      </c>
      <c r="AC2217" s="1">
        <v>0</v>
      </c>
      <c r="AD2217" s="1">
        <v>0</v>
      </c>
    </row>
    <row r="2218" spans="1:30" s="20" customFormat="1" ht="36" customHeight="1" x14ac:dyDescent="0.25">
      <c r="A2218" s="2">
        <f t="shared" si="1251"/>
        <v>2139</v>
      </c>
      <c r="B2218" s="3">
        <f>A2218</f>
        <v>2139</v>
      </c>
      <c r="C2218" s="19" t="s">
        <v>1640</v>
      </c>
      <c r="D2218" s="4">
        <f t="shared" si="1247"/>
        <v>1875500</v>
      </c>
      <c r="E2218" s="1">
        <f>SUM(F2218:K2218)</f>
        <v>0</v>
      </c>
      <c r="F2218" s="1">
        <v>0</v>
      </c>
      <c r="G2218" s="1">
        <v>0</v>
      </c>
      <c r="H2218" s="1">
        <v>0</v>
      </c>
      <c r="I2218" s="1">
        <v>0</v>
      </c>
      <c r="J2218" s="1">
        <v>0</v>
      </c>
      <c r="K2218" s="1">
        <v>0</v>
      </c>
      <c r="L2218" s="2">
        <v>0</v>
      </c>
      <c r="M2218" s="1">
        <v>0</v>
      </c>
      <c r="N2218" s="1">
        <v>0</v>
      </c>
      <c r="O2218" s="1">
        <v>0</v>
      </c>
      <c r="P2218" s="1">
        <v>0</v>
      </c>
      <c r="Q2218" s="1">
        <v>0</v>
      </c>
      <c r="R2218" s="1">
        <v>500</v>
      </c>
      <c r="S2218" s="1">
        <f>R2218*3751</f>
        <v>1875500</v>
      </c>
      <c r="T2218" s="1">
        <v>0</v>
      </c>
      <c r="U2218" s="1">
        <v>0</v>
      </c>
      <c r="V2218" s="1">
        <v>0</v>
      </c>
      <c r="W2218" s="1">
        <v>0</v>
      </c>
      <c r="X2218" s="1">
        <v>0</v>
      </c>
      <c r="Y2218" s="1">
        <v>0</v>
      </c>
      <c r="Z2218" s="1">
        <v>0</v>
      </c>
      <c r="AA2218" s="1">
        <v>0</v>
      </c>
      <c r="AB2218" s="1">
        <v>0</v>
      </c>
      <c r="AC2218" s="1">
        <v>0</v>
      </c>
      <c r="AD2218" s="1">
        <v>0</v>
      </c>
    </row>
    <row r="2219" spans="1:30" s="20" customFormat="1" ht="36" customHeight="1" x14ac:dyDescent="0.25">
      <c r="A2219" s="2">
        <f t="shared" si="1251"/>
        <v>2140</v>
      </c>
      <c r="B2219" s="3">
        <f t="shared" si="1237"/>
        <v>2140</v>
      </c>
      <c r="C2219" s="19" t="s">
        <v>1338</v>
      </c>
      <c r="D2219" s="4">
        <f t="shared" si="1247"/>
        <v>2069804.1999999997</v>
      </c>
      <c r="E2219" s="1">
        <f t="shared" ref="E2219:E2228" si="1253">SUM(F2219:K2219)</f>
        <v>1969804.1999999997</v>
      </c>
      <c r="F2219" s="1">
        <f>804*587.3</f>
        <v>472189.19999999995</v>
      </c>
      <c r="G2219" s="1">
        <f>1693*587.3</f>
        <v>994298.89999999991</v>
      </c>
      <c r="H2219" s="1">
        <f>390*587.3</f>
        <v>229046.99999999997</v>
      </c>
      <c r="I2219" s="1">
        <v>0</v>
      </c>
      <c r="J2219" s="1">
        <f>467*587.3</f>
        <v>274269.09999999998</v>
      </c>
      <c r="K2219" s="1">
        <v>0</v>
      </c>
      <c r="L2219" s="2">
        <v>0</v>
      </c>
      <c r="M2219" s="1">
        <v>0</v>
      </c>
      <c r="N2219" s="1">
        <v>0</v>
      </c>
      <c r="O2219" s="1">
        <v>0</v>
      </c>
      <c r="P2219" s="1">
        <v>0</v>
      </c>
      <c r="Q2219" s="1">
        <f t="shared" ref="Q2219:Q2228" si="1254">P2219*1400</f>
        <v>0</v>
      </c>
      <c r="R2219" s="1">
        <v>0</v>
      </c>
      <c r="S2219" s="1">
        <f t="shared" ref="S2219:S2228" si="1255">R2219*3751</f>
        <v>0</v>
      </c>
      <c r="T2219" s="1">
        <v>0</v>
      </c>
      <c r="U2219" s="1">
        <v>50000</v>
      </c>
      <c r="V2219" s="1">
        <v>0</v>
      </c>
      <c r="W2219" s="1">
        <v>50000</v>
      </c>
      <c r="X2219" s="1">
        <v>0</v>
      </c>
      <c r="Y2219" s="1">
        <v>0</v>
      </c>
      <c r="Z2219" s="1">
        <v>0</v>
      </c>
      <c r="AA2219" s="1">
        <v>0</v>
      </c>
      <c r="AB2219" s="1">
        <v>0</v>
      </c>
      <c r="AC2219" s="1">
        <v>0</v>
      </c>
      <c r="AD2219" s="1">
        <v>0</v>
      </c>
    </row>
    <row r="2220" spans="1:30" s="20" customFormat="1" ht="36" customHeight="1" x14ac:dyDescent="0.25">
      <c r="A2220" s="2">
        <f t="shared" si="1251"/>
        <v>2141</v>
      </c>
      <c r="B2220" s="3">
        <f t="shared" ref="B2220" si="1256">A2220</f>
        <v>2141</v>
      </c>
      <c r="C2220" s="19" t="s">
        <v>1782</v>
      </c>
      <c r="D2220" s="4">
        <f t="shared" si="1247"/>
        <v>1242320</v>
      </c>
      <c r="E2220" s="1">
        <f t="shared" ref="E2220" si="1257">SUM(F2220:K2220)</f>
        <v>0</v>
      </c>
      <c r="F2220" s="1">
        <v>0</v>
      </c>
      <c r="G2220" s="1">
        <v>0</v>
      </c>
      <c r="H2220" s="1">
        <v>0</v>
      </c>
      <c r="I2220" s="1">
        <v>0</v>
      </c>
      <c r="J2220" s="1">
        <v>0</v>
      </c>
      <c r="K2220" s="1">
        <v>0</v>
      </c>
      <c r="L2220" s="2">
        <v>0</v>
      </c>
      <c r="M2220" s="1">
        <v>0</v>
      </c>
      <c r="N2220" s="1">
        <v>240</v>
      </c>
      <c r="O2220" s="1">
        <f>N2220*4968</f>
        <v>1192320</v>
      </c>
      <c r="P2220" s="1">
        <v>0</v>
      </c>
      <c r="Q2220" s="1">
        <f t="shared" ref="Q2220" si="1258">P2220*1400</f>
        <v>0</v>
      </c>
      <c r="R2220" s="1">
        <v>0</v>
      </c>
      <c r="S2220" s="1">
        <f t="shared" ref="S2220" si="1259">R2220*3751</f>
        <v>0</v>
      </c>
      <c r="T2220" s="1">
        <v>0</v>
      </c>
      <c r="U2220" s="1">
        <v>0</v>
      </c>
      <c r="V2220" s="1">
        <v>0</v>
      </c>
      <c r="W2220" s="1">
        <v>50000</v>
      </c>
      <c r="X2220" s="1">
        <v>0</v>
      </c>
      <c r="Y2220" s="1">
        <v>0</v>
      </c>
      <c r="Z2220" s="1">
        <v>0</v>
      </c>
      <c r="AA2220" s="1">
        <v>0</v>
      </c>
      <c r="AB2220" s="1">
        <v>0</v>
      </c>
      <c r="AC2220" s="1">
        <v>0</v>
      </c>
      <c r="AD2220" s="1">
        <v>0</v>
      </c>
    </row>
    <row r="2221" spans="1:30" s="20" customFormat="1" ht="36" customHeight="1" x14ac:dyDescent="0.25">
      <c r="A2221" s="2">
        <f t="shared" si="1251"/>
        <v>2142</v>
      </c>
      <c r="B2221" s="3">
        <f t="shared" si="1237"/>
        <v>2142</v>
      </c>
      <c r="C2221" s="19" t="s">
        <v>1339</v>
      </c>
      <c r="D2221" s="4">
        <f t="shared" si="1247"/>
        <v>8830542.3999999985</v>
      </c>
      <c r="E2221" s="1">
        <f t="shared" si="1253"/>
        <v>2474581.1999999997</v>
      </c>
      <c r="F2221" s="1">
        <f>804*737.8</f>
        <v>593191.19999999995</v>
      </c>
      <c r="G2221" s="1">
        <f>1693*737.8</f>
        <v>1249095.3999999999</v>
      </c>
      <c r="H2221" s="1">
        <f>390*737.8</f>
        <v>287742</v>
      </c>
      <c r="I2221" s="1">
        <v>0</v>
      </c>
      <c r="J2221" s="1">
        <f>467*737.8</f>
        <v>344552.6</v>
      </c>
      <c r="K2221" s="1">
        <v>0</v>
      </c>
      <c r="L2221" s="2">
        <v>0</v>
      </c>
      <c r="M2221" s="1">
        <v>0</v>
      </c>
      <c r="N2221" s="1">
        <v>535.6</v>
      </c>
      <c r="O2221" s="1">
        <f>N2221*7750</f>
        <v>4150900</v>
      </c>
      <c r="P2221" s="1">
        <v>0</v>
      </c>
      <c r="Q2221" s="1">
        <f t="shared" si="1254"/>
        <v>0</v>
      </c>
      <c r="R2221" s="1">
        <v>561.20000000000005</v>
      </c>
      <c r="S2221" s="1">
        <f t="shared" si="1255"/>
        <v>2105061.2000000002</v>
      </c>
      <c r="T2221" s="1">
        <v>0</v>
      </c>
      <c r="U2221" s="1">
        <v>50000</v>
      </c>
      <c r="V2221" s="1">
        <v>0</v>
      </c>
      <c r="W2221" s="1">
        <v>50000</v>
      </c>
      <c r="X2221" s="1">
        <v>0</v>
      </c>
      <c r="Y2221" s="1">
        <v>0</v>
      </c>
      <c r="Z2221" s="1">
        <v>0</v>
      </c>
      <c r="AA2221" s="1">
        <v>0</v>
      </c>
      <c r="AB2221" s="1">
        <v>0</v>
      </c>
      <c r="AC2221" s="1">
        <v>0</v>
      </c>
      <c r="AD2221" s="1">
        <v>0</v>
      </c>
    </row>
    <row r="2222" spans="1:30" s="20" customFormat="1" ht="36" customHeight="1" x14ac:dyDescent="0.25">
      <c r="A2222" s="2">
        <f t="shared" si="1251"/>
        <v>2143</v>
      </c>
      <c r="B2222" s="3">
        <f t="shared" si="1237"/>
        <v>2143</v>
      </c>
      <c r="C2222" s="19" t="s">
        <v>1340</v>
      </c>
      <c r="D2222" s="4">
        <f t="shared" si="1247"/>
        <v>8808406</v>
      </c>
      <c r="E2222" s="1">
        <f t="shared" si="1253"/>
        <v>2452444.8000000003</v>
      </c>
      <c r="F2222" s="1">
        <f>804*731.2</f>
        <v>587884.80000000005</v>
      </c>
      <c r="G2222" s="1">
        <f>1693*731.2</f>
        <v>1237921.6000000001</v>
      </c>
      <c r="H2222" s="1">
        <f>390*731.2</f>
        <v>285168</v>
      </c>
      <c r="I2222" s="1">
        <v>0</v>
      </c>
      <c r="J2222" s="1">
        <f>467*731.2</f>
        <v>341470.4</v>
      </c>
      <c r="K2222" s="1">
        <v>0</v>
      </c>
      <c r="L2222" s="2">
        <v>0</v>
      </c>
      <c r="M2222" s="1">
        <v>0</v>
      </c>
      <c r="N2222" s="1">
        <v>535.6</v>
      </c>
      <c r="O2222" s="1">
        <f>N2222*7750</f>
        <v>4150900</v>
      </c>
      <c r="P2222" s="1">
        <v>0</v>
      </c>
      <c r="Q2222" s="1">
        <f t="shared" si="1254"/>
        <v>0</v>
      </c>
      <c r="R2222" s="1">
        <v>561.20000000000005</v>
      </c>
      <c r="S2222" s="1">
        <f t="shared" si="1255"/>
        <v>2105061.2000000002</v>
      </c>
      <c r="T2222" s="1">
        <v>0</v>
      </c>
      <c r="U2222" s="1">
        <v>50000</v>
      </c>
      <c r="V2222" s="1">
        <v>0</v>
      </c>
      <c r="W2222" s="1">
        <v>50000</v>
      </c>
      <c r="X2222" s="1">
        <v>0</v>
      </c>
      <c r="Y2222" s="1">
        <v>0</v>
      </c>
      <c r="Z2222" s="1">
        <v>0</v>
      </c>
      <c r="AA2222" s="1">
        <v>0</v>
      </c>
      <c r="AB2222" s="1">
        <v>0</v>
      </c>
      <c r="AC2222" s="1">
        <v>0</v>
      </c>
      <c r="AD2222" s="1">
        <v>0</v>
      </c>
    </row>
    <row r="2223" spans="1:30" s="20" customFormat="1" ht="36" customHeight="1" x14ac:dyDescent="0.25">
      <c r="A2223" s="2">
        <f t="shared" si="1251"/>
        <v>2144</v>
      </c>
      <c r="B2223" s="3">
        <f t="shared" si="1237"/>
        <v>2144</v>
      </c>
      <c r="C2223" s="19" t="s">
        <v>1341</v>
      </c>
      <c r="D2223" s="4">
        <f t="shared" si="1247"/>
        <v>8799350.1999999993</v>
      </c>
      <c r="E2223" s="1">
        <f t="shared" si="1253"/>
        <v>2443389</v>
      </c>
      <c r="F2223" s="1">
        <f>804*728.5</f>
        <v>585714</v>
      </c>
      <c r="G2223" s="1">
        <f>1693*728.5</f>
        <v>1233350.5</v>
      </c>
      <c r="H2223" s="1">
        <f>390*728.5</f>
        <v>284115</v>
      </c>
      <c r="I2223" s="1">
        <v>0</v>
      </c>
      <c r="J2223" s="1">
        <f>467*728.5</f>
        <v>340209.5</v>
      </c>
      <c r="K2223" s="1">
        <v>0</v>
      </c>
      <c r="L2223" s="2">
        <v>0</v>
      </c>
      <c r="M2223" s="1">
        <v>0</v>
      </c>
      <c r="N2223" s="1">
        <v>535.6</v>
      </c>
      <c r="O2223" s="1">
        <f>N2223*7750</f>
        <v>4150900</v>
      </c>
      <c r="P2223" s="1">
        <v>0</v>
      </c>
      <c r="Q2223" s="1">
        <f t="shared" si="1254"/>
        <v>0</v>
      </c>
      <c r="R2223" s="1">
        <v>561.20000000000005</v>
      </c>
      <c r="S2223" s="1">
        <f t="shared" si="1255"/>
        <v>2105061.2000000002</v>
      </c>
      <c r="T2223" s="1">
        <v>0</v>
      </c>
      <c r="U2223" s="1">
        <v>50000</v>
      </c>
      <c r="V2223" s="1">
        <v>0</v>
      </c>
      <c r="W2223" s="1">
        <v>50000</v>
      </c>
      <c r="X2223" s="1">
        <v>0</v>
      </c>
      <c r="Y2223" s="1">
        <v>0</v>
      </c>
      <c r="Z2223" s="1">
        <v>0</v>
      </c>
      <c r="AA2223" s="1">
        <v>0</v>
      </c>
      <c r="AB2223" s="1">
        <v>0</v>
      </c>
      <c r="AC2223" s="1">
        <v>0</v>
      </c>
      <c r="AD2223" s="1">
        <v>0</v>
      </c>
    </row>
    <row r="2224" spans="1:30" s="20" customFormat="1" ht="36" customHeight="1" x14ac:dyDescent="0.25">
      <c r="A2224" s="2">
        <f t="shared" si="1251"/>
        <v>2145</v>
      </c>
      <c r="B2224" s="3">
        <f t="shared" si="1237"/>
        <v>2145</v>
      </c>
      <c r="C2224" s="19" t="s">
        <v>1342</v>
      </c>
      <c r="D2224" s="4">
        <f t="shared" si="1247"/>
        <v>5379306.7999999998</v>
      </c>
      <c r="E2224" s="1">
        <f t="shared" si="1253"/>
        <v>1326806.7999999998</v>
      </c>
      <c r="F2224" s="1">
        <f>804*798.8</f>
        <v>642235.19999999995</v>
      </c>
      <c r="G2224" s="1">
        <v>0</v>
      </c>
      <c r="H2224" s="1">
        <f>390*798.8</f>
        <v>311532</v>
      </c>
      <c r="I2224" s="1">
        <v>0</v>
      </c>
      <c r="J2224" s="1">
        <f>467*798.8</f>
        <v>373039.6</v>
      </c>
      <c r="K2224" s="1">
        <v>0</v>
      </c>
      <c r="L2224" s="2">
        <v>0</v>
      </c>
      <c r="M2224" s="1">
        <v>0</v>
      </c>
      <c r="N2224" s="1">
        <v>510</v>
      </c>
      <c r="O2224" s="1">
        <f>N2224*7750</f>
        <v>3952500</v>
      </c>
      <c r="P2224" s="1">
        <v>0</v>
      </c>
      <c r="Q2224" s="1">
        <f t="shared" si="1254"/>
        <v>0</v>
      </c>
      <c r="R2224" s="1">
        <v>0</v>
      </c>
      <c r="S2224" s="1">
        <f t="shared" si="1255"/>
        <v>0</v>
      </c>
      <c r="T2224" s="1">
        <v>0</v>
      </c>
      <c r="U2224" s="1">
        <v>50000</v>
      </c>
      <c r="V2224" s="1">
        <v>0</v>
      </c>
      <c r="W2224" s="1">
        <v>50000</v>
      </c>
      <c r="X2224" s="1">
        <v>0</v>
      </c>
      <c r="Y2224" s="1">
        <v>0</v>
      </c>
      <c r="Z2224" s="1">
        <v>0</v>
      </c>
      <c r="AA2224" s="1">
        <v>0</v>
      </c>
      <c r="AB2224" s="1">
        <v>0</v>
      </c>
      <c r="AC2224" s="1">
        <v>0</v>
      </c>
      <c r="AD2224" s="1">
        <v>0</v>
      </c>
    </row>
    <row r="2225" spans="1:30" s="20" customFormat="1" ht="36" customHeight="1" x14ac:dyDescent="0.25">
      <c r="A2225" s="2">
        <f t="shared" si="1251"/>
        <v>2146</v>
      </c>
      <c r="B2225" s="6">
        <f t="shared" si="1237"/>
        <v>2146</v>
      </c>
      <c r="C2225" s="19" t="s">
        <v>2091</v>
      </c>
      <c r="D2225" s="4">
        <f t="shared" si="1247"/>
        <v>703769.60000000009</v>
      </c>
      <c r="E2225" s="1">
        <f t="shared" si="1253"/>
        <v>653769.60000000009</v>
      </c>
      <c r="F2225" s="7">
        <f>804*393.6</f>
        <v>316454.40000000002</v>
      </c>
      <c r="G2225" s="7">
        <v>0</v>
      </c>
      <c r="H2225" s="7">
        <f>390*393.6</f>
        <v>153504</v>
      </c>
      <c r="I2225" s="1">
        <v>0</v>
      </c>
      <c r="J2225" s="7">
        <f>467*393.6</f>
        <v>183811.20000000001</v>
      </c>
      <c r="K2225" s="1">
        <v>0</v>
      </c>
      <c r="L2225" s="2">
        <v>0</v>
      </c>
      <c r="M2225" s="1">
        <v>0</v>
      </c>
      <c r="N2225" s="1">
        <v>0</v>
      </c>
      <c r="O2225" s="1">
        <v>0</v>
      </c>
      <c r="P2225" s="1">
        <v>0</v>
      </c>
      <c r="Q2225" s="1">
        <f t="shared" si="1254"/>
        <v>0</v>
      </c>
      <c r="R2225" s="1">
        <v>0</v>
      </c>
      <c r="S2225" s="1">
        <f t="shared" si="1255"/>
        <v>0</v>
      </c>
      <c r="T2225" s="1">
        <v>0</v>
      </c>
      <c r="U2225" s="1">
        <v>50000</v>
      </c>
      <c r="V2225" s="1">
        <v>0</v>
      </c>
      <c r="W2225" s="1">
        <v>0</v>
      </c>
      <c r="X2225" s="1">
        <v>0</v>
      </c>
      <c r="Y2225" s="1">
        <v>0</v>
      </c>
      <c r="Z2225" s="1">
        <v>0</v>
      </c>
      <c r="AA2225" s="1">
        <v>0</v>
      </c>
      <c r="AB2225" s="1">
        <v>0</v>
      </c>
      <c r="AC2225" s="1">
        <v>0</v>
      </c>
      <c r="AD2225" s="1">
        <v>0</v>
      </c>
    </row>
    <row r="2226" spans="1:30" s="20" customFormat="1" ht="36" customHeight="1" x14ac:dyDescent="0.25">
      <c r="A2226" s="2">
        <f t="shared" si="1251"/>
        <v>2147</v>
      </c>
      <c r="B2226" s="3">
        <f t="shared" si="1237"/>
        <v>2147</v>
      </c>
      <c r="C2226" s="19" t="s">
        <v>1343</v>
      </c>
      <c r="D2226" s="4">
        <f t="shared" si="1247"/>
        <v>4676155.9000000004</v>
      </c>
      <c r="E2226" s="1">
        <f t="shared" si="1253"/>
        <v>953247.89999999991</v>
      </c>
      <c r="F2226" s="1">
        <f>804*573.9</f>
        <v>461415.6</v>
      </c>
      <c r="G2226" s="1">
        <v>0</v>
      </c>
      <c r="H2226" s="1">
        <f>390*573.9</f>
        <v>223821</v>
      </c>
      <c r="I2226" s="1">
        <v>0</v>
      </c>
      <c r="J2226" s="1">
        <f>467*573.9</f>
        <v>268011.3</v>
      </c>
      <c r="K2226" s="1">
        <v>0</v>
      </c>
      <c r="L2226" s="2">
        <v>0</v>
      </c>
      <c r="M2226" s="1">
        <v>0</v>
      </c>
      <c r="N2226" s="1">
        <v>270</v>
      </c>
      <c r="O2226" s="1">
        <f>N2226*7750</f>
        <v>2092500</v>
      </c>
      <c r="P2226" s="1">
        <v>0</v>
      </c>
      <c r="Q2226" s="1">
        <f t="shared" si="1254"/>
        <v>0</v>
      </c>
      <c r="R2226" s="1">
        <v>408</v>
      </c>
      <c r="S2226" s="1">
        <f t="shared" si="1255"/>
        <v>1530408</v>
      </c>
      <c r="T2226" s="1">
        <v>0</v>
      </c>
      <c r="U2226" s="1">
        <v>50000</v>
      </c>
      <c r="V2226" s="1">
        <v>0</v>
      </c>
      <c r="W2226" s="1">
        <v>50000</v>
      </c>
      <c r="X2226" s="1">
        <v>0</v>
      </c>
      <c r="Y2226" s="1">
        <v>0</v>
      </c>
      <c r="Z2226" s="1">
        <v>0</v>
      </c>
      <c r="AA2226" s="1">
        <v>0</v>
      </c>
      <c r="AB2226" s="1">
        <v>0</v>
      </c>
      <c r="AC2226" s="1">
        <v>0</v>
      </c>
      <c r="AD2226" s="1">
        <v>0</v>
      </c>
    </row>
    <row r="2227" spans="1:30" s="20" customFormat="1" ht="36" customHeight="1" x14ac:dyDescent="0.25">
      <c r="A2227" s="2">
        <f t="shared" si="1251"/>
        <v>2148</v>
      </c>
      <c r="B2227" s="3">
        <f t="shared" si="1237"/>
        <v>2148</v>
      </c>
      <c r="C2227" s="19" t="s">
        <v>1344</v>
      </c>
      <c r="D2227" s="4">
        <f t="shared" si="1247"/>
        <v>2583655.9</v>
      </c>
      <c r="E2227" s="1">
        <f t="shared" si="1253"/>
        <v>953247.89999999991</v>
      </c>
      <c r="F2227" s="1">
        <f>804*573.9</f>
        <v>461415.6</v>
      </c>
      <c r="G2227" s="1">
        <v>0</v>
      </c>
      <c r="H2227" s="1">
        <f>390*573.9</f>
        <v>223821</v>
      </c>
      <c r="I2227" s="1">
        <v>0</v>
      </c>
      <c r="J2227" s="1">
        <f>467*573.9</f>
        <v>268011.3</v>
      </c>
      <c r="K2227" s="1">
        <v>0</v>
      </c>
      <c r="L2227" s="2">
        <v>0</v>
      </c>
      <c r="M2227" s="1">
        <v>0</v>
      </c>
      <c r="N2227" s="1">
        <v>0</v>
      </c>
      <c r="O2227" s="1">
        <v>0</v>
      </c>
      <c r="P2227" s="1">
        <v>0</v>
      </c>
      <c r="Q2227" s="1">
        <f t="shared" si="1254"/>
        <v>0</v>
      </c>
      <c r="R2227" s="1">
        <v>408</v>
      </c>
      <c r="S2227" s="1">
        <f t="shared" si="1255"/>
        <v>1530408</v>
      </c>
      <c r="T2227" s="1">
        <v>0</v>
      </c>
      <c r="U2227" s="1">
        <v>50000</v>
      </c>
      <c r="V2227" s="1">
        <v>0</v>
      </c>
      <c r="W2227" s="1">
        <v>50000</v>
      </c>
      <c r="X2227" s="1">
        <v>0</v>
      </c>
      <c r="Y2227" s="1">
        <v>0</v>
      </c>
      <c r="Z2227" s="1">
        <v>0</v>
      </c>
      <c r="AA2227" s="1">
        <v>0</v>
      </c>
      <c r="AB2227" s="1">
        <v>0</v>
      </c>
      <c r="AC2227" s="1">
        <v>0</v>
      </c>
      <c r="AD2227" s="1">
        <v>0</v>
      </c>
    </row>
    <row r="2228" spans="1:30" s="20" customFormat="1" ht="36" customHeight="1" x14ac:dyDescent="0.25">
      <c r="A2228" s="2">
        <f t="shared" si="1251"/>
        <v>2149</v>
      </c>
      <c r="B2228" s="3">
        <f t="shared" si="1237"/>
        <v>2149</v>
      </c>
      <c r="C2228" s="19" t="s">
        <v>1345</v>
      </c>
      <c r="D2228" s="4">
        <f t="shared" si="1247"/>
        <v>9194670.8000000007</v>
      </c>
      <c r="E2228" s="1">
        <f t="shared" si="1253"/>
        <v>756724.8</v>
      </c>
      <c r="F2228" s="1">
        <f>804*941.2</f>
        <v>756724.8</v>
      </c>
      <c r="G2228" s="1">
        <v>0</v>
      </c>
      <c r="H2228" s="1">
        <v>0</v>
      </c>
      <c r="I2228" s="1">
        <v>0</v>
      </c>
      <c r="J2228" s="1">
        <v>0</v>
      </c>
      <c r="K2228" s="1">
        <v>0</v>
      </c>
      <c r="L2228" s="2">
        <v>0</v>
      </c>
      <c r="M2228" s="1">
        <v>0</v>
      </c>
      <c r="N2228" s="1">
        <v>739</v>
      </c>
      <c r="O2228" s="1">
        <f>N2228*7750</f>
        <v>5727250</v>
      </c>
      <c r="P2228" s="1">
        <v>0</v>
      </c>
      <c r="Q2228" s="1">
        <f t="shared" si="1254"/>
        <v>0</v>
      </c>
      <c r="R2228" s="1">
        <v>696</v>
      </c>
      <c r="S2228" s="1">
        <f t="shared" si="1255"/>
        <v>2610696</v>
      </c>
      <c r="T2228" s="1">
        <v>0</v>
      </c>
      <c r="U2228" s="1">
        <v>50000</v>
      </c>
      <c r="V2228" s="1">
        <v>0</v>
      </c>
      <c r="W2228" s="1">
        <v>50000</v>
      </c>
      <c r="X2228" s="1">
        <v>0</v>
      </c>
      <c r="Y2228" s="1">
        <v>0</v>
      </c>
      <c r="Z2228" s="1">
        <v>0</v>
      </c>
      <c r="AA2228" s="1">
        <v>0</v>
      </c>
      <c r="AB2228" s="1">
        <v>0</v>
      </c>
      <c r="AC2228" s="1">
        <v>0</v>
      </c>
      <c r="AD2228" s="1">
        <v>0</v>
      </c>
    </row>
    <row r="2229" spans="1:30" s="20" customFormat="1" ht="36" customHeight="1" x14ac:dyDescent="0.25">
      <c r="A2229" s="2">
        <f t="shared" si="1251"/>
        <v>2150</v>
      </c>
      <c r="B2229" s="6">
        <f t="shared" si="1237"/>
        <v>2150</v>
      </c>
      <c r="C2229" s="19" t="s">
        <v>743</v>
      </c>
      <c r="D2229" s="4">
        <f t="shared" si="1247"/>
        <v>345550.4</v>
      </c>
      <c r="E2229" s="1">
        <f>SUM(F2229:K2229)</f>
        <v>295550.40000000002</v>
      </c>
      <c r="F2229" s="1">
        <f>804*367.6</f>
        <v>295550.40000000002</v>
      </c>
      <c r="G2229" s="1">
        <v>0</v>
      </c>
      <c r="H2229" s="1">
        <v>0</v>
      </c>
      <c r="I2229" s="1">
        <v>0</v>
      </c>
      <c r="J2229" s="1">
        <v>0</v>
      </c>
      <c r="K2229" s="1">
        <v>0</v>
      </c>
      <c r="L2229" s="2">
        <v>0</v>
      </c>
      <c r="M2229" s="1">
        <v>0</v>
      </c>
      <c r="N2229" s="1">
        <v>0</v>
      </c>
      <c r="O2229" s="1">
        <v>0</v>
      </c>
      <c r="P2229" s="1">
        <v>0</v>
      </c>
      <c r="Q2229" s="1">
        <f t="shared" ref="Q2229:Q2241" si="1260">P2229*1400</f>
        <v>0</v>
      </c>
      <c r="R2229" s="1">
        <v>0</v>
      </c>
      <c r="S2229" s="1">
        <f t="shared" ref="S2229:S2241" si="1261">R2229*3751</f>
        <v>0</v>
      </c>
      <c r="T2229" s="1">
        <v>0</v>
      </c>
      <c r="U2229" s="1">
        <v>50000</v>
      </c>
      <c r="V2229" s="1">
        <v>0</v>
      </c>
      <c r="W2229" s="1">
        <v>0</v>
      </c>
      <c r="X2229" s="1">
        <v>0</v>
      </c>
      <c r="Y2229" s="1">
        <v>0</v>
      </c>
      <c r="Z2229" s="1">
        <v>0</v>
      </c>
      <c r="AA2229" s="1">
        <v>0</v>
      </c>
      <c r="AB2229" s="1">
        <v>0</v>
      </c>
      <c r="AC2229" s="1">
        <v>0</v>
      </c>
      <c r="AD2229" s="1">
        <v>0</v>
      </c>
    </row>
    <row r="2230" spans="1:30" s="20" customFormat="1" ht="36" customHeight="1" x14ac:dyDescent="0.25">
      <c r="A2230" s="2">
        <f t="shared" si="1251"/>
        <v>2151</v>
      </c>
      <c r="B2230" s="6">
        <f t="shared" si="1237"/>
        <v>2151</v>
      </c>
      <c r="C2230" s="19" t="s">
        <v>2086</v>
      </c>
      <c r="D2230" s="4">
        <f t="shared" si="1247"/>
        <v>2235596</v>
      </c>
      <c r="E2230" s="1">
        <f t="shared" ref="E2230" si="1262">SUM(F2230:K2230)</f>
        <v>0</v>
      </c>
      <c r="F2230" s="7">
        <v>0</v>
      </c>
      <c r="G2230" s="7">
        <v>0</v>
      </c>
      <c r="H2230" s="7">
        <v>0</v>
      </c>
      <c r="I2230" s="1">
        <v>0</v>
      </c>
      <c r="J2230" s="7">
        <v>0</v>
      </c>
      <c r="K2230" s="1">
        <v>0</v>
      </c>
      <c r="L2230" s="2">
        <v>0</v>
      </c>
      <c r="M2230" s="1">
        <v>0</v>
      </c>
      <c r="N2230" s="1">
        <v>0</v>
      </c>
      <c r="O2230" s="1">
        <v>0</v>
      </c>
      <c r="P2230" s="1">
        <v>0</v>
      </c>
      <c r="Q2230" s="1">
        <f t="shared" si="1260"/>
        <v>0</v>
      </c>
      <c r="R2230" s="1">
        <v>596</v>
      </c>
      <c r="S2230" s="1">
        <f t="shared" si="1261"/>
        <v>2235596</v>
      </c>
      <c r="T2230" s="1">
        <v>0</v>
      </c>
      <c r="U2230" s="1">
        <v>0</v>
      </c>
      <c r="V2230" s="1">
        <v>0</v>
      </c>
      <c r="W2230" s="1">
        <v>0</v>
      </c>
      <c r="X2230" s="1">
        <v>0</v>
      </c>
      <c r="Y2230" s="1">
        <v>0</v>
      </c>
      <c r="Z2230" s="1">
        <v>0</v>
      </c>
      <c r="AA2230" s="1">
        <v>0</v>
      </c>
      <c r="AB2230" s="1">
        <v>0</v>
      </c>
      <c r="AC2230" s="1">
        <v>0</v>
      </c>
      <c r="AD2230" s="1">
        <v>0</v>
      </c>
    </row>
    <row r="2231" spans="1:30" s="20" customFormat="1" ht="36" customHeight="1" x14ac:dyDescent="0.25">
      <c r="A2231" s="2">
        <f t="shared" si="1251"/>
        <v>2152</v>
      </c>
      <c r="B2231" s="3">
        <f t="shared" si="1237"/>
        <v>2152</v>
      </c>
      <c r="C2231" s="19" t="s">
        <v>1346</v>
      </c>
      <c r="D2231" s="4">
        <f t="shared" si="1247"/>
        <v>434544.4</v>
      </c>
      <c r="E2231" s="1">
        <f t="shared" ref="E2231:E2241" si="1263">SUM(F2231:K2231)</f>
        <v>334544.40000000002</v>
      </c>
      <c r="F2231" s="1">
        <f>804*416.1</f>
        <v>334544.40000000002</v>
      </c>
      <c r="G2231" s="1">
        <v>0</v>
      </c>
      <c r="H2231" s="1">
        <v>0</v>
      </c>
      <c r="I2231" s="1">
        <v>0</v>
      </c>
      <c r="J2231" s="1">
        <v>0</v>
      </c>
      <c r="K2231" s="1">
        <v>0</v>
      </c>
      <c r="L2231" s="2">
        <v>0</v>
      </c>
      <c r="M2231" s="1">
        <v>0</v>
      </c>
      <c r="N2231" s="1">
        <v>0</v>
      </c>
      <c r="O2231" s="1">
        <v>0</v>
      </c>
      <c r="P2231" s="1">
        <v>0</v>
      </c>
      <c r="Q2231" s="1">
        <f t="shared" si="1260"/>
        <v>0</v>
      </c>
      <c r="R2231" s="1">
        <v>0</v>
      </c>
      <c r="S2231" s="1">
        <f t="shared" si="1261"/>
        <v>0</v>
      </c>
      <c r="T2231" s="1">
        <v>0</v>
      </c>
      <c r="U2231" s="1">
        <v>50000</v>
      </c>
      <c r="V2231" s="1">
        <v>0</v>
      </c>
      <c r="W2231" s="1">
        <v>50000</v>
      </c>
      <c r="X2231" s="1">
        <v>0</v>
      </c>
      <c r="Y2231" s="1">
        <v>0</v>
      </c>
      <c r="Z2231" s="1">
        <v>0</v>
      </c>
      <c r="AA2231" s="1">
        <v>0</v>
      </c>
      <c r="AB2231" s="1">
        <v>0</v>
      </c>
      <c r="AC2231" s="1">
        <v>0</v>
      </c>
      <c r="AD2231" s="1">
        <v>0</v>
      </c>
    </row>
    <row r="2232" spans="1:30" s="20" customFormat="1" ht="36" customHeight="1" x14ac:dyDescent="0.25">
      <c r="A2232" s="2">
        <f t="shared" si="1251"/>
        <v>2153</v>
      </c>
      <c r="B2232" s="3">
        <f t="shared" si="1237"/>
        <v>2153</v>
      </c>
      <c r="C2232" s="19" t="s">
        <v>1347</v>
      </c>
      <c r="D2232" s="4">
        <f t="shared" si="1247"/>
        <v>435509.2</v>
      </c>
      <c r="E2232" s="1">
        <f t="shared" si="1263"/>
        <v>335509.2</v>
      </c>
      <c r="F2232" s="1">
        <f>804*417.3</f>
        <v>335509.2</v>
      </c>
      <c r="G2232" s="1">
        <v>0</v>
      </c>
      <c r="H2232" s="1">
        <v>0</v>
      </c>
      <c r="I2232" s="1">
        <v>0</v>
      </c>
      <c r="J2232" s="1">
        <v>0</v>
      </c>
      <c r="K2232" s="1">
        <v>0</v>
      </c>
      <c r="L2232" s="2">
        <v>0</v>
      </c>
      <c r="M2232" s="1">
        <v>0</v>
      </c>
      <c r="N2232" s="1">
        <v>0</v>
      </c>
      <c r="O2232" s="1">
        <v>0</v>
      </c>
      <c r="P2232" s="1">
        <v>0</v>
      </c>
      <c r="Q2232" s="1">
        <f t="shared" si="1260"/>
        <v>0</v>
      </c>
      <c r="R2232" s="1">
        <v>0</v>
      </c>
      <c r="S2232" s="1">
        <f t="shared" si="1261"/>
        <v>0</v>
      </c>
      <c r="T2232" s="1">
        <v>0</v>
      </c>
      <c r="U2232" s="1">
        <v>50000</v>
      </c>
      <c r="V2232" s="1">
        <v>0</v>
      </c>
      <c r="W2232" s="1">
        <v>50000</v>
      </c>
      <c r="X2232" s="1">
        <v>0</v>
      </c>
      <c r="Y2232" s="1">
        <v>0</v>
      </c>
      <c r="Z2232" s="1">
        <v>0</v>
      </c>
      <c r="AA2232" s="1">
        <v>0</v>
      </c>
      <c r="AB2232" s="1">
        <v>0</v>
      </c>
      <c r="AC2232" s="1">
        <v>0</v>
      </c>
      <c r="AD2232" s="1">
        <v>0</v>
      </c>
    </row>
    <row r="2233" spans="1:30" s="20" customFormat="1" ht="36" customHeight="1" x14ac:dyDescent="0.25">
      <c r="A2233" s="2">
        <f t="shared" si="1251"/>
        <v>2154</v>
      </c>
      <c r="B2233" s="3">
        <f t="shared" si="1237"/>
        <v>2154</v>
      </c>
      <c r="C2233" s="19" t="s">
        <v>1348</v>
      </c>
      <c r="D2233" s="4">
        <f t="shared" si="1247"/>
        <v>436393.6</v>
      </c>
      <c r="E2233" s="1">
        <f t="shared" si="1263"/>
        <v>336393.6</v>
      </c>
      <c r="F2233" s="1">
        <f>804*418.4</f>
        <v>336393.6</v>
      </c>
      <c r="G2233" s="1">
        <v>0</v>
      </c>
      <c r="H2233" s="1">
        <v>0</v>
      </c>
      <c r="I2233" s="1">
        <v>0</v>
      </c>
      <c r="J2233" s="1">
        <v>0</v>
      </c>
      <c r="K2233" s="1">
        <v>0</v>
      </c>
      <c r="L2233" s="2">
        <v>0</v>
      </c>
      <c r="M2233" s="1">
        <v>0</v>
      </c>
      <c r="N2233" s="1">
        <v>0</v>
      </c>
      <c r="O2233" s="1">
        <v>0</v>
      </c>
      <c r="P2233" s="1">
        <v>0</v>
      </c>
      <c r="Q2233" s="1">
        <f t="shared" si="1260"/>
        <v>0</v>
      </c>
      <c r="R2233" s="1">
        <v>0</v>
      </c>
      <c r="S2233" s="1">
        <f t="shared" si="1261"/>
        <v>0</v>
      </c>
      <c r="T2233" s="1">
        <v>0</v>
      </c>
      <c r="U2233" s="1">
        <v>50000</v>
      </c>
      <c r="V2233" s="1">
        <v>0</v>
      </c>
      <c r="W2233" s="1">
        <v>50000</v>
      </c>
      <c r="X2233" s="1">
        <v>0</v>
      </c>
      <c r="Y2233" s="1">
        <v>0</v>
      </c>
      <c r="Z2233" s="1">
        <v>0</v>
      </c>
      <c r="AA2233" s="1">
        <v>0</v>
      </c>
      <c r="AB2233" s="1">
        <v>0</v>
      </c>
      <c r="AC2233" s="1">
        <v>0</v>
      </c>
      <c r="AD2233" s="1">
        <v>0</v>
      </c>
    </row>
    <row r="2234" spans="1:30" s="20" customFormat="1" ht="36" customHeight="1" x14ac:dyDescent="0.25">
      <c r="A2234" s="2">
        <f t="shared" si="1251"/>
        <v>2155</v>
      </c>
      <c r="B2234" s="3">
        <f t="shared" si="1237"/>
        <v>2155</v>
      </c>
      <c r="C2234" s="19" t="s">
        <v>1349</v>
      </c>
      <c r="D2234" s="4">
        <f t="shared" si="1247"/>
        <v>762572.89999999991</v>
      </c>
      <c r="E2234" s="1">
        <f t="shared" si="1263"/>
        <v>662572.89999999991</v>
      </c>
      <c r="F2234" s="1">
        <f>804*398.9</f>
        <v>320715.59999999998</v>
      </c>
      <c r="G2234" s="1">
        <v>0</v>
      </c>
      <c r="H2234" s="1">
        <f>390*398.9</f>
        <v>155571</v>
      </c>
      <c r="I2234" s="1">
        <v>0</v>
      </c>
      <c r="J2234" s="1">
        <f>467*398.9</f>
        <v>186286.3</v>
      </c>
      <c r="K2234" s="1">
        <v>0</v>
      </c>
      <c r="L2234" s="2">
        <v>0</v>
      </c>
      <c r="M2234" s="1">
        <v>0</v>
      </c>
      <c r="N2234" s="1">
        <v>0</v>
      </c>
      <c r="O2234" s="1">
        <v>0</v>
      </c>
      <c r="P2234" s="1">
        <v>0</v>
      </c>
      <c r="Q2234" s="1">
        <f t="shared" si="1260"/>
        <v>0</v>
      </c>
      <c r="R2234" s="1">
        <v>0</v>
      </c>
      <c r="S2234" s="1">
        <f t="shared" si="1261"/>
        <v>0</v>
      </c>
      <c r="T2234" s="1">
        <v>0</v>
      </c>
      <c r="U2234" s="1">
        <v>50000</v>
      </c>
      <c r="V2234" s="1">
        <v>0</v>
      </c>
      <c r="W2234" s="1">
        <v>50000</v>
      </c>
      <c r="X2234" s="1">
        <v>0</v>
      </c>
      <c r="Y2234" s="1">
        <v>0</v>
      </c>
      <c r="Z2234" s="1">
        <v>0</v>
      </c>
      <c r="AA2234" s="1">
        <v>0</v>
      </c>
      <c r="AB2234" s="1">
        <v>0</v>
      </c>
      <c r="AC2234" s="1">
        <v>0</v>
      </c>
      <c r="AD2234" s="1">
        <v>0</v>
      </c>
    </row>
    <row r="2235" spans="1:30" s="20" customFormat="1" ht="36" customHeight="1" x14ac:dyDescent="0.25">
      <c r="A2235" s="2">
        <f t="shared" si="1251"/>
        <v>2156</v>
      </c>
      <c r="B2235" s="3">
        <f t="shared" si="1237"/>
        <v>2156</v>
      </c>
      <c r="C2235" s="19" t="s">
        <v>1350</v>
      </c>
      <c r="D2235" s="4">
        <f t="shared" si="1247"/>
        <v>762572.89999999991</v>
      </c>
      <c r="E2235" s="1">
        <f t="shared" si="1263"/>
        <v>662572.89999999991</v>
      </c>
      <c r="F2235" s="1">
        <f>804*398.9</f>
        <v>320715.59999999998</v>
      </c>
      <c r="G2235" s="1">
        <v>0</v>
      </c>
      <c r="H2235" s="1">
        <f>390*398.9</f>
        <v>155571</v>
      </c>
      <c r="I2235" s="1">
        <v>0</v>
      </c>
      <c r="J2235" s="1">
        <f>467*398.9</f>
        <v>186286.3</v>
      </c>
      <c r="K2235" s="1">
        <v>0</v>
      </c>
      <c r="L2235" s="2">
        <v>0</v>
      </c>
      <c r="M2235" s="1">
        <v>0</v>
      </c>
      <c r="N2235" s="1">
        <v>0</v>
      </c>
      <c r="O2235" s="1">
        <v>0</v>
      </c>
      <c r="P2235" s="1">
        <v>0</v>
      </c>
      <c r="Q2235" s="1">
        <f t="shared" si="1260"/>
        <v>0</v>
      </c>
      <c r="R2235" s="1">
        <v>0</v>
      </c>
      <c r="S2235" s="1">
        <f t="shared" si="1261"/>
        <v>0</v>
      </c>
      <c r="T2235" s="1">
        <v>0</v>
      </c>
      <c r="U2235" s="1">
        <v>50000</v>
      </c>
      <c r="V2235" s="1">
        <v>0</v>
      </c>
      <c r="W2235" s="1">
        <v>50000</v>
      </c>
      <c r="X2235" s="1">
        <v>0</v>
      </c>
      <c r="Y2235" s="1">
        <v>0</v>
      </c>
      <c r="Z2235" s="1">
        <v>0</v>
      </c>
      <c r="AA2235" s="1">
        <v>0</v>
      </c>
      <c r="AB2235" s="1">
        <v>0</v>
      </c>
      <c r="AC2235" s="1">
        <v>0</v>
      </c>
      <c r="AD2235" s="1">
        <v>0</v>
      </c>
    </row>
    <row r="2236" spans="1:30" s="20" customFormat="1" ht="36" customHeight="1" x14ac:dyDescent="0.25">
      <c r="A2236" s="2">
        <f t="shared" si="1251"/>
        <v>2157</v>
      </c>
      <c r="B2236" s="6">
        <f t="shared" si="1237"/>
        <v>2157</v>
      </c>
      <c r="C2236" s="19" t="s">
        <v>2095</v>
      </c>
      <c r="D2236" s="4">
        <f t="shared" si="1247"/>
        <v>4296723.2</v>
      </c>
      <c r="E2236" s="1">
        <f t="shared" si="1263"/>
        <v>1293973.2000000002</v>
      </c>
      <c r="F2236" s="7">
        <f>804*385.8</f>
        <v>310183.2</v>
      </c>
      <c r="G2236" s="7">
        <f>1693*385.8</f>
        <v>653159.4</v>
      </c>
      <c r="H2236" s="7">
        <f>390*385.8</f>
        <v>150462</v>
      </c>
      <c r="I2236" s="1">
        <v>0</v>
      </c>
      <c r="J2236" s="7">
        <f>467*385.8</f>
        <v>180168.6</v>
      </c>
      <c r="K2236" s="1">
        <v>0</v>
      </c>
      <c r="L2236" s="2">
        <v>0</v>
      </c>
      <c r="M2236" s="1">
        <v>0</v>
      </c>
      <c r="N2236" s="1">
        <v>381</v>
      </c>
      <c r="O2236" s="1">
        <f>N2236*7750</f>
        <v>2952750</v>
      </c>
      <c r="P2236" s="1">
        <v>0</v>
      </c>
      <c r="Q2236" s="1">
        <f t="shared" si="1260"/>
        <v>0</v>
      </c>
      <c r="R2236" s="1">
        <v>0</v>
      </c>
      <c r="S2236" s="1">
        <f t="shared" si="1261"/>
        <v>0</v>
      </c>
      <c r="T2236" s="1">
        <v>0</v>
      </c>
      <c r="U2236" s="1">
        <v>50000</v>
      </c>
      <c r="V2236" s="1">
        <v>0</v>
      </c>
      <c r="W2236" s="1">
        <v>0</v>
      </c>
      <c r="X2236" s="1">
        <v>0</v>
      </c>
      <c r="Y2236" s="1">
        <v>0</v>
      </c>
      <c r="Z2236" s="1">
        <v>0</v>
      </c>
      <c r="AA2236" s="1">
        <v>0</v>
      </c>
      <c r="AB2236" s="1">
        <v>0</v>
      </c>
      <c r="AC2236" s="1">
        <v>0</v>
      </c>
      <c r="AD2236" s="1">
        <v>0</v>
      </c>
    </row>
    <row r="2237" spans="1:30" s="20" customFormat="1" ht="36" customHeight="1" x14ac:dyDescent="0.25">
      <c r="A2237" s="2">
        <f t="shared" si="1251"/>
        <v>2158</v>
      </c>
      <c r="B2237" s="3">
        <f t="shared" si="1237"/>
        <v>2158</v>
      </c>
      <c r="C2237" s="19" t="s">
        <v>1351</v>
      </c>
      <c r="D2237" s="4">
        <f t="shared" si="1247"/>
        <v>21748852.799999997</v>
      </c>
      <c r="E2237" s="1">
        <f t="shared" si="1263"/>
        <v>11476381.799999999</v>
      </c>
      <c r="F2237" s="1">
        <f>804*3421.7</f>
        <v>2751046.8</v>
      </c>
      <c r="G2237" s="1">
        <f>1693*3421.7</f>
        <v>5792938.0999999996</v>
      </c>
      <c r="H2237" s="1">
        <f>390*3421.7</f>
        <v>1334463</v>
      </c>
      <c r="I2237" s="1">
        <v>0</v>
      </c>
      <c r="J2237" s="1">
        <f>467*3421.7</f>
        <v>1597933.9</v>
      </c>
      <c r="K2237" s="1">
        <v>0</v>
      </c>
      <c r="L2237" s="2">
        <v>0</v>
      </c>
      <c r="M2237" s="1">
        <v>0</v>
      </c>
      <c r="N2237" s="1">
        <v>1020</v>
      </c>
      <c r="O2237" s="1">
        <f>N2237*4968</f>
        <v>5067360</v>
      </c>
      <c r="P2237" s="1">
        <v>0</v>
      </c>
      <c r="Q2237" s="1">
        <f t="shared" si="1260"/>
        <v>0</v>
      </c>
      <c r="R2237" s="1">
        <v>1361</v>
      </c>
      <c r="S2237" s="1">
        <f t="shared" si="1261"/>
        <v>5105111</v>
      </c>
      <c r="T2237" s="1">
        <v>0</v>
      </c>
      <c r="U2237" s="1">
        <v>50000</v>
      </c>
      <c r="V2237" s="1">
        <v>0</v>
      </c>
      <c r="W2237" s="1">
        <v>50000</v>
      </c>
      <c r="X2237" s="1">
        <v>0</v>
      </c>
      <c r="Y2237" s="1">
        <v>0</v>
      </c>
      <c r="Z2237" s="1">
        <v>0</v>
      </c>
      <c r="AA2237" s="1">
        <v>0</v>
      </c>
      <c r="AB2237" s="1">
        <v>0</v>
      </c>
      <c r="AC2237" s="1">
        <v>0</v>
      </c>
      <c r="AD2237" s="1">
        <v>0</v>
      </c>
    </row>
    <row r="2238" spans="1:30" s="20" customFormat="1" ht="36" customHeight="1" x14ac:dyDescent="0.25">
      <c r="A2238" s="2">
        <f t="shared" si="1251"/>
        <v>2159</v>
      </c>
      <c r="B2238" s="3">
        <f t="shared" si="1237"/>
        <v>2159</v>
      </c>
      <c r="C2238" s="19" t="s">
        <v>1352</v>
      </c>
      <c r="D2238" s="4">
        <f t="shared" si="1247"/>
        <v>21911521.799999997</v>
      </c>
      <c r="E2238" s="1">
        <f t="shared" si="1263"/>
        <v>11639050.799999999</v>
      </c>
      <c r="F2238" s="1">
        <f>804*3470.2</f>
        <v>2790040.8</v>
      </c>
      <c r="G2238" s="1">
        <f>1693*3470.2</f>
        <v>5875048.5999999996</v>
      </c>
      <c r="H2238" s="1">
        <f>390*3470.2</f>
        <v>1353378</v>
      </c>
      <c r="I2238" s="1">
        <v>0</v>
      </c>
      <c r="J2238" s="1">
        <f>467*3470.2</f>
        <v>1620583.4</v>
      </c>
      <c r="K2238" s="1">
        <v>0</v>
      </c>
      <c r="L2238" s="2">
        <v>0</v>
      </c>
      <c r="M2238" s="1">
        <v>0</v>
      </c>
      <c r="N2238" s="1">
        <v>1020</v>
      </c>
      <c r="O2238" s="1">
        <f>N2238*4968</f>
        <v>5067360</v>
      </c>
      <c r="P2238" s="1">
        <v>0</v>
      </c>
      <c r="Q2238" s="1">
        <f t="shared" si="1260"/>
        <v>0</v>
      </c>
      <c r="R2238" s="1">
        <v>1361</v>
      </c>
      <c r="S2238" s="1">
        <f t="shared" si="1261"/>
        <v>5105111</v>
      </c>
      <c r="T2238" s="1">
        <v>0</v>
      </c>
      <c r="U2238" s="1">
        <v>50000</v>
      </c>
      <c r="V2238" s="1">
        <v>0</v>
      </c>
      <c r="W2238" s="1">
        <v>50000</v>
      </c>
      <c r="X2238" s="1">
        <v>0</v>
      </c>
      <c r="Y2238" s="1">
        <v>0</v>
      </c>
      <c r="Z2238" s="1">
        <v>0</v>
      </c>
      <c r="AA2238" s="1">
        <v>0</v>
      </c>
      <c r="AB2238" s="1">
        <v>0</v>
      </c>
      <c r="AC2238" s="1">
        <v>0</v>
      </c>
      <c r="AD2238" s="1">
        <v>0</v>
      </c>
    </row>
    <row r="2239" spans="1:30" s="20" customFormat="1" ht="36" customHeight="1" x14ac:dyDescent="0.25">
      <c r="A2239" s="2">
        <f t="shared" si="1251"/>
        <v>2160</v>
      </c>
      <c r="B2239" s="3">
        <f t="shared" si="1237"/>
        <v>2160</v>
      </c>
      <c r="C2239" s="19" t="s">
        <v>1353</v>
      </c>
      <c r="D2239" s="4">
        <f t="shared" si="1247"/>
        <v>21873957</v>
      </c>
      <c r="E2239" s="1">
        <f t="shared" si="1263"/>
        <v>11601486</v>
      </c>
      <c r="F2239" s="1">
        <f>804*3459</f>
        <v>2781036</v>
      </c>
      <c r="G2239" s="1">
        <f>1693*3459</f>
        <v>5856087</v>
      </c>
      <c r="H2239" s="1">
        <f>390*3459</f>
        <v>1349010</v>
      </c>
      <c r="I2239" s="1">
        <v>0</v>
      </c>
      <c r="J2239" s="1">
        <f>467*3459</f>
        <v>1615353</v>
      </c>
      <c r="K2239" s="1">
        <v>0</v>
      </c>
      <c r="L2239" s="2">
        <v>0</v>
      </c>
      <c r="M2239" s="1">
        <v>0</v>
      </c>
      <c r="N2239" s="1">
        <v>1020</v>
      </c>
      <c r="O2239" s="1">
        <f>N2239*4968</f>
        <v>5067360</v>
      </c>
      <c r="P2239" s="1">
        <v>0</v>
      </c>
      <c r="Q2239" s="1">
        <f t="shared" si="1260"/>
        <v>0</v>
      </c>
      <c r="R2239" s="1">
        <v>1361</v>
      </c>
      <c r="S2239" s="1">
        <f t="shared" si="1261"/>
        <v>5105111</v>
      </c>
      <c r="T2239" s="1">
        <v>0</v>
      </c>
      <c r="U2239" s="1">
        <v>50000</v>
      </c>
      <c r="V2239" s="1">
        <v>0</v>
      </c>
      <c r="W2239" s="1">
        <v>50000</v>
      </c>
      <c r="X2239" s="1">
        <v>0</v>
      </c>
      <c r="Y2239" s="1">
        <v>0</v>
      </c>
      <c r="Z2239" s="1">
        <v>0</v>
      </c>
      <c r="AA2239" s="1">
        <v>0</v>
      </c>
      <c r="AB2239" s="1">
        <v>0</v>
      </c>
      <c r="AC2239" s="1">
        <v>0</v>
      </c>
      <c r="AD2239" s="1">
        <v>0</v>
      </c>
    </row>
    <row r="2240" spans="1:30" s="20" customFormat="1" ht="36" customHeight="1" x14ac:dyDescent="0.25">
      <c r="A2240" s="2">
        <f t="shared" si="1251"/>
        <v>2161</v>
      </c>
      <c r="B2240" s="3">
        <f t="shared" si="1237"/>
        <v>2161</v>
      </c>
      <c r="C2240" s="19" t="s">
        <v>1354</v>
      </c>
      <c r="D2240" s="4">
        <f t="shared" si="1247"/>
        <v>21721350</v>
      </c>
      <c r="E2240" s="1">
        <f t="shared" si="1263"/>
        <v>11448879</v>
      </c>
      <c r="F2240" s="1">
        <f>804*3413.5</f>
        <v>2744454</v>
      </c>
      <c r="G2240" s="1">
        <f>1693*3413.5</f>
        <v>5779055.5</v>
      </c>
      <c r="H2240" s="1">
        <f>390*3413.5</f>
        <v>1331265</v>
      </c>
      <c r="I2240" s="1">
        <v>0</v>
      </c>
      <c r="J2240" s="1">
        <f>467*3413.5</f>
        <v>1594104.5</v>
      </c>
      <c r="K2240" s="1">
        <v>0</v>
      </c>
      <c r="L2240" s="2">
        <v>0</v>
      </c>
      <c r="M2240" s="1">
        <v>0</v>
      </c>
      <c r="N2240" s="1">
        <v>1020</v>
      </c>
      <c r="O2240" s="1">
        <f>N2240*4968</f>
        <v>5067360</v>
      </c>
      <c r="P2240" s="1">
        <v>0</v>
      </c>
      <c r="Q2240" s="1">
        <f t="shared" si="1260"/>
        <v>0</v>
      </c>
      <c r="R2240" s="1">
        <v>1361</v>
      </c>
      <c r="S2240" s="1">
        <f t="shared" si="1261"/>
        <v>5105111</v>
      </c>
      <c r="T2240" s="1">
        <v>0</v>
      </c>
      <c r="U2240" s="1">
        <v>50000</v>
      </c>
      <c r="V2240" s="1">
        <v>0</v>
      </c>
      <c r="W2240" s="1">
        <v>50000</v>
      </c>
      <c r="X2240" s="1">
        <v>0</v>
      </c>
      <c r="Y2240" s="1">
        <v>0</v>
      </c>
      <c r="Z2240" s="1">
        <v>0</v>
      </c>
      <c r="AA2240" s="1">
        <v>0</v>
      </c>
      <c r="AB2240" s="1">
        <v>0</v>
      </c>
      <c r="AC2240" s="1">
        <v>0</v>
      </c>
      <c r="AD2240" s="1">
        <v>0</v>
      </c>
    </row>
    <row r="2241" spans="1:30" s="20" customFormat="1" ht="36" customHeight="1" x14ac:dyDescent="0.25">
      <c r="A2241" s="2">
        <f t="shared" si="1251"/>
        <v>2162</v>
      </c>
      <c r="B2241" s="2">
        <f>A2241</f>
        <v>2162</v>
      </c>
      <c r="C2241" s="19" t="s">
        <v>1355</v>
      </c>
      <c r="D2241" s="39">
        <f t="shared" si="1247"/>
        <v>22050042</v>
      </c>
      <c r="E2241" s="1">
        <f t="shared" si="1263"/>
        <v>11777571</v>
      </c>
      <c r="F2241" s="1">
        <f>804*3511.5</f>
        <v>2823246</v>
      </c>
      <c r="G2241" s="1">
        <f>1693*3511.5</f>
        <v>5944969.5</v>
      </c>
      <c r="H2241" s="1">
        <f>390*3511.5</f>
        <v>1369485</v>
      </c>
      <c r="I2241" s="1">
        <v>0</v>
      </c>
      <c r="J2241" s="1">
        <f>467*3511.5</f>
        <v>1639870.5</v>
      </c>
      <c r="K2241" s="1">
        <v>0</v>
      </c>
      <c r="L2241" s="2">
        <v>0</v>
      </c>
      <c r="M2241" s="1">
        <v>0</v>
      </c>
      <c r="N2241" s="1">
        <v>1020</v>
      </c>
      <c r="O2241" s="1">
        <f>N2241*4968</f>
        <v>5067360</v>
      </c>
      <c r="P2241" s="1">
        <v>0</v>
      </c>
      <c r="Q2241" s="1">
        <f t="shared" si="1260"/>
        <v>0</v>
      </c>
      <c r="R2241" s="1">
        <v>1361</v>
      </c>
      <c r="S2241" s="1">
        <f t="shared" si="1261"/>
        <v>5105111</v>
      </c>
      <c r="T2241" s="1">
        <v>0</v>
      </c>
      <c r="U2241" s="1">
        <v>50000</v>
      </c>
      <c r="V2241" s="1">
        <v>0</v>
      </c>
      <c r="W2241" s="1">
        <v>50000</v>
      </c>
      <c r="X2241" s="1">
        <v>0</v>
      </c>
      <c r="Y2241" s="1">
        <v>0</v>
      </c>
      <c r="Z2241" s="1">
        <v>0</v>
      </c>
      <c r="AA2241" s="1">
        <v>0</v>
      </c>
      <c r="AB2241" s="1">
        <v>0</v>
      </c>
      <c r="AC2241" s="1">
        <v>0</v>
      </c>
      <c r="AD2241" s="1">
        <v>0</v>
      </c>
    </row>
    <row r="2242" spans="1:30" s="20" customFormat="1" ht="54.95" customHeight="1" x14ac:dyDescent="0.25">
      <c r="A2242" s="3"/>
      <c r="B2242" s="47" t="s">
        <v>1996</v>
      </c>
      <c r="C2242" s="48"/>
      <c r="D2242" s="4">
        <f>SUM(D2243:D2284)</f>
        <v>340501382.60000002</v>
      </c>
      <c r="E2242" s="4">
        <f t="shared" ref="E2242:AD2242" si="1264">SUM(E2243:E2284)</f>
        <v>136104330.59999996</v>
      </c>
      <c r="F2242" s="4">
        <f t="shared" si="1264"/>
        <v>35721318</v>
      </c>
      <c r="G2242" s="4">
        <f t="shared" si="1264"/>
        <v>56297328.999999993</v>
      </c>
      <c r="H2242" s="4">
        <f t="shared" si="1264"/>
        <v>16947684</v>
      </c>
      <c r="I2242" s="4">
        <f t="shared" si="1264"/>
        <v>6844234.3999999994</v>
      </c>
      <c r="J2242" s="4">
        <f t="shared" si="1264"/>
        <v>20293765.199999999</v>
      </c>
      <c r="K2242" s="4">
        <f t="shared" si="1264"/>
        <v>0</v>
      </c>
      <c r="L2242" s="17">
        <f t="shared" si="1264"/>
        <v>0</v>
      </c>
      <c r="M2242" s="4">
        <f t="shared" si="1264"/>
        <v>0</v>
      </c>
      <c r="N2242" s="4">
        <f t="shared" si="1264"/>
        <v>8603</v>
      </c>
      <c r="O2242" s="4">
        <f t="shared" si="1264"/>
        <v>55600890</v>
      </c>
      <c r="P2242" s="4">
        <f t="shared" si="1264"/>
        <v>625</v>
      </c>
      <c r="Q2242" s="4">
        <f t="shared" si="1264"/>
        <v>875000</v>
      </c>
      <c r="R2242" s="4">
        <f t="shared" si="1264"/>
        <v>39138</v>
      </c>
      <c r="S2242" s="4">
        <f t="shared" si="1264"/>
        <v>145021162</v>
      </c>
      <c r="T2242" s="4">
        <f t="shared" si="1264"/>
        <v>150000</v>
      </c>
      <c r="U2242" s="4">
        <f t="shared" si="1264"/>
        <v>1500000</v>
      </c>
      <c r="V2242" s="4">
        <f t="shared" si="1264"/>
        <v>0</v>
      </c>
      <c r="W2242" s="4">
        <f t="shared" si="1264"/>
        <v>1250000</v>
      </c>
      <c r="X2242" s="4">
        <f t="shared" si="1264"/>
        <v>0</v>
      </c>
      <c r="Y2242" s="4">
        <f t="shared" si="1264"/>
        <v>0</v>
      </c>
      <c r="Z2242" s="4">
        <f t="shared" si="1264"/>
        <v>0</v>
      </c>
      <c r="AA2242" s="4">
        <f t="shared" si="1264"/>
        <v>0</v>
      </c>
      <c r="AB2242" s="4">
        <f t="shared" si="1264"/>
        <v>0</v>
      </c>
      <c r="AC2242" s="4">
        <f t="shared" si="1264"/>
        <v>0</v>
      </c>
      <c r="AD2242" s="4">
        <f t="shared" si="1264"/>
        <v>0</v>
      </c>
    </row>
    <row r="2243" spans="1:30" s="20" customFormat="1" ht="36" customHeight="1" x14ac:dyDescent="0.25">
      <c r="A2243" s="2">
        <f t="shared" ref="A2243:A2284" si="1265">ROW()-ROW($A$11)-69</f>
        <v>2163</v>
      </c>
      <c r="B2243" s="3">
        <f t="shared" ref="B2243:B2316" si="1266">A2243</f>
        <v>2163</v>
      </c>
      <c r="C2243" s="29" t="s">
        <v>1356</v>
      </c>
      <c r="D2243" s="4">
        <f t="shared" ref="D2243:D2284" si="1267">E2243+M2243+O2243+Q2243+S2243+T2243+U2243+V2243+W2243+X2243+Z2243+AA2243+AB2243+AC2243+AD2243</f>
        <v>44157770</v>
      </c>
      <c r="E2243" s="1">
        <f t="shared" ref="E2243:E2253" si="1268">SUM(F2243:K2243)</f>
        <v>31841169.999999996</v>
      </c>
      <c r="F2243" s="1">
        <f>804*8112.4</f>
        <v>6522369.5999999996</v>
      </c>
      <c r="G2243" s="1">
        <f>1693*8112.4</f>
        <v>13734293.199999999</v>
      </c>
      <c r="H2243" s="1">
        <f>390*8112.4</f>
        <v>3163836</v>
      </c>
      <c r="I2243" s="1">
        <f>571*8112.4</f>
        <v>4632180.3999999994</v>
      </c>
      <c r="J2243" s="1">
        <f>467*8112.4</f>
        <v>3788490.8</v>
      </c>
      <c r="K2243" s="1">
        <v>0</v>
      </c>
      <c r="L2243" s="2">
        <v>0</v>
      </c>
      <c r="M2243" s="1">
        <f>L2243*3500000</f>
        <v>0</v>
      </c>
      <c r="N2243" s="1">
        <v>1100</v>
      </c>
      <c r="O2243" s="1">
        <f>N2243*4968</f>
        <v>5464800</v>
      </c>
      <c r="P2243" s="1">
        <v>0</v>
      </c>
      <c r="Q2243" s="1">
        <f t="shared" ref="Q2243:Q2253" si="1269">P2243*1400</f>
        <v>0</v>
      </c>
      <c r="R2243" s="1">
        <v>1800</v>
      </c>
      <c r="S2243" s="1">
        <f t="shared" ref="S2243:S2258" si="1270">R2243*3751</f>
        <v>6751800</v>
      </c>
      <c r="T2243" s="1">
        <v>0</v>
      </c>
      <c r="U2243" s="1">
        <v>50000</v>
      </c>
      <c r="V2243" s="1">
        <v>0</v>
      </c>
      <c r="W2243" s="1">
        <v>50000</v>
      </c>
      <c r="X2243" s="1">
        <v>0</v>
      </c>
      <c r="Y2243" s="1">
        <v>0</v>
      </c>
      <c r="Z2243" s="1">
        <v>0</v>
      </c>
      <c r="AA2243" s="1">
        <v>0</v>
      </c>
      <c r="AB2243" s="1">
        <v>0</v>
      </c>
      <c r="AC2243" s="1">
        <v>0</v>
      </c>
      <c r="AD2243" s="1">
        <v>0</v>
      </c>
    </row>
    <row r="2244" spans="1:30" s="20" customFormat="1" ht="36" customHeight="1" x14ac:dyDescent="0.25">
      <c r="A2244" s="2">
        <f t="shared" si="1265"/>
        <v>2164</v>
      </c>
      <c r="B2244" s="6">
        <f>A2244</f>
        <v>2164</v>
      </c>
      <c r="C2244" s="29" t="s">
        <v>2097</v>
      </c>
      <c r="D2244" s="4">
        <f t="shared" si="1267"/>
        <v>25476792</v>
      </c>
      <c r="E2244" s="1">
        <f>SUM(F2244:K2244)</f>
        <v>0</v>
      </c>
      <c r="F2244" s="1">
        <v>0</v>
      </c>
      <c r="G2244" s="1">
        <v>0</v>
      </c>
      <c r="H2244" s="1">
        <v>0</v>
      </c>
      <c r="I2244" s="1">
        <v>0</v>
      </c>
      <c r="J2244" s="1">
        <v>0</v>
      </c>
      <c r="K2244" s="1">
        <v>0</v>
      </c>
      <c r="L2244" s="2">
        <v>0</v>
      </c>
      <c r="M2244" s="1">
        <f>L2244*3500000</f>
        <v>0</v>
      </c>
      <c r="N2244" s="1">
        <v>0</v>
      </c>
      <c r="O2244" s="1">
        <v>0</v>
      </c>
      <c r="P2244" s="1">
        <v>0</v>
      </c>
      <c r="Q2244" s="1">
        <v>0</v>
      </c>
      <c r="R2244" s="1">
        <v>6792</v>
      </c>
      <c r="S2244" s="1">
        <f>R2244*3751</f>
        <v>25476792</v>
      </c>
      <c r="T2244" s="1">
        <v>0</v>
      </c>
      <c r="U2244" s="1">
        <v>0</v>
      </c>
      <c r="V2244" s="1">
        <v>0</v>
      </c>
      <c r="W2244" s="1">
        <v>0</v>
      </c>
      <c r="X2244" s="1">
        <v>0</v>
      </c>
      <c r="Y2244" s="1">
        <v>0</v>
      </c>
      <c r="Z2244" s="1">
        <v>0</v>
      </c>
      <c r="AA2244" s="1">
        <v>0</v>
      </c>
      <c r="AB2244" s="1">
        <v>0</v>
      </c>
      <c r="AC2244" s="1">
        <v>0</v>
      </c>
      <c r="AD2244" s="1">
        <v>0</v>
      </c>
    </row>
    <row r="2245" spans="1:30" s="20" customFormat="1" ht="36" customHeight="1" x14ac:dyDescent="0.25">
      <c r="A2245" s="2">
        <f t="shared" si="1265"/>
        <v>2165</v>
      </c>
      <c r="B2245" s="6">
        <f>A2245</f>
        <v>2165</v>
      </c>
      <c r="C2245" s="29" t="s">
        <v>2098</v>
      </c>
      <c r="D2245" s="4">
        <f t="shared" si="1267"/>
        <v>25975675</v>
      </c>
      <c r="E2245" s="1">
        <f>SUM(F2245:K2245)</f>
        <v>0</v>
      </c>
      <c r="F2245" s="1">
        <v>0</v>
      </c>
      <c r="G2245" s="1">
        <v>0</v>
      </c>
      <c r="H2245" s="1">
        <v>0</v>
      </c>
      <c r="I2245" s="1">
        <v>0</v>
      </c>
      <c r="J2245" s="1">
        <v>0</v>
      </c>
      <c r="K2245" s="1">
        <v>0</v>
      </c>
      <c r="L2245" s="2">
        <v>0</v>
      </c>
      <c r="M2245" s="1">
        <f>L2245*3500000</f>
        <v>0</v>
      </c>
      <c r="N2245" s="1">
        <v>0</v>
      </c>
      <c r="O2245" s="1">
        <v>0</v>
      </c>
      <c r="P2245" s="1">
        <v>0</v>
      </c>
      <c r="Q2245" s="1">
        <v>0</v>
      </c>
      <c r="R2245" s="1">
        <v>6925</v>
      </c>
      <c r="S2245" s="1">
        <f>R2245*3751</f>
        <v>25975675</v>
      </c>
      <c r="T2245" s="1">
        <v>0</v>
      </c>
      <c r="U2245" s="1">
        <v>0</v>
      </c>
      <c r="V2245" s="1">
        <v>0</v>
      </c>
      <c r="W2245" s="1">
        <v>0</v>
      </c>
      <c r="X2245" s="1">
        <v>0</v>
      </c>
      <c r="Y2245" s="1">
        <v>0</v>
      </c>
      <c r="Z2245" s="1">
        <v>0</v>
      </c>
      <c r="AA2245" s="1">
        <v>0</v>
      </c>
      <c r="AB2245" s="1">
        <v>0</v>
      </c>
      <c r="AC2245" s="1">
        <v>0</v>
      </c>
      <c r="AD2245" s="1">
        <v>0</v>
      </c>
    </row>
    <row r="2246" spans="1:30" s="20" customFormat="1" ht="36" customHeight="1" x14ac:dyDescent="0.25">
      <c r="A2246" s="2">
        <f t="shared" si="1265"/>
        <v>2166</v>
      </c>
      <c r="B2246" s="3">
        <f t="shared" si="1266"/>
        <v>2166</v>
      </c>
      <c r="C2246" s="29" t="s">
        <v>1357</v>
      </c>
      <c r="D2246" s="4">
        <f t="shared" si="1267"/>
        <v>14346948.5</v>
      </c>
      <c r="E2246" s="1">
        <f t="shared" si="1268"/>
        <v>7301677.4999999991</v>
      </c>
      <c r="F2246" s="1">
        <f>804*1860.3</f>
        <v>1495681.2</v>
      </c>
      <c r="G2246" s="1">
        <f>1693*1860.3</f>
        <v>3149487.9</v>
      </c>
      <c r="H2246" s="1">
        <f>390*1860.3</f>
        <v>725517</v>
      </c>
      <c r="I2246" s="1">
        <f>571*1860.3</f>
        <v>1062231.3</v>
      </c>
      <c r="J2246" s="1">
        <f>467*1860.3</f>
        <v>868760.1</v>
      </c>
      <c r="K2246" s="1">
        <v>0</v>
      </c>
      <c r="L2246" s="2">
        <v>0</v>
      </c>
      <c r="M2246" s="1">
        <v>0</v>
      </c>
      <c r="N2246" s="1">
        <v>644</v>
      </c>
      <c r="O2246" s="1">
        <f>N2246*7750</f>
        <v>4991000</v>
      </c>
      <c r="P2246" s="1">
        <v>0</v>
      </c>
      <c r="Q2246" s="1">
        <f t="shared" si="1269"/>
        <v>0</v>
      </c>
      <c r="R2246" s="1">
        <v>521</v>
      </c>
      <c r="S2246" s="1">
        <f t="shared" si="1270"/>
        <v>1954271</v>
      </c>
      <c r="T2246" s="1">
        <v>0</v>
      </c>
      <c r="U2246" s="1">
        <v>50000</v>
      </c>
      <c r="V2246" s="1">
        <v>0</v>
      </c>
      <c r="W2246" s="1">
        <v>50000</v>
      </c>
      <c r="X2246" s="1">
        <v>0</v>
      </c>
      <c r="Y2246" s="1">
        <v>0</v>
      </c>
      <c r="Z2246" s="1">
        <v>0</v>
      </c>
      <c r="AA2246" s="1">
        <v>0</v>
      </c>
      <c r="AB2246" s="1">
        <v>0</v>
      </c>
      <c r="AC2246" s="1">
        <v>0</v>
      </c>
      <c r="AD2246" s="1">
        <v>0</v>
      </c>
    </row>
    <row r="2247" spans="1:30" s="20" customFormat="1" ht="36" customHeight="1" x14ac:dyDescent="0.25">
      <c r="A2247" s="2">
        <f t="shared" si="1265"/>
        <v>2167</v>
      </c>
      <c r="B2247" s="3">
        <f t="shared" si="1266"/>
        <v>2167</v>
      </c>
      <c r="C2247" s="29" t="s">
        <v>1358</v>
      </c>
      <c r="D2247" s="4">
        <f t="shared" si="1267"/>
        <v>26976494.200000003</v>
      </c>
      <c r="E2247" s="1">
        <f t="shared" si="1268"/>
        <v>15603814.200000001</v>
      </c>
      <c r="F2247" s="1">
        <f>804*4652.3</f>
        <v>3740449.2</v>
      </c>
      <c r="G2247" s="1">
        <f>1693*4652.3</f>
        <v>7876343.9000000004</v>
      </c>
      <c r="H2247" s="1">
        <f>390*4652.3</f>
        <v>1814397</v>
      </c>
      <c r="I2247" s="1">
        <v>0</v>
      </c>
      <c r="J2247" s="1">
        <f>467*4652.3</f>
        <v>2172624.1</v>
      </c>
      <c r="K2247" s="1">
        <v>0</v>
      </c>
      <c r="L2247" s="2">
        <v>0</v>
      </c>
      <c r="M2247" s="1">
        <v>0</v>
      </c>
      <c r="N2247" s="1">
        <v>910</v>
      </c>
      <c r="O2247" s="1">
        <f>N2247*4968</f>
        <v>4520880</v>
      </c>
      <c r="P2247" s="1">
        <v>0</v>
      </c>
      <c r="Q2247" s="1">
        <f t="shared" si="1269"/>
        <v>0</v>
      </c>
      <c r="R2247" s="1">
        <v>1800</v>
      </c>
      <c r="S2247" s="1">
        <f t="shared" si="1270"/>
        <v>6751800</v>
      </c>
      <c r="T2247" s="1">
        <v>0</v>
      </c>
      <c r="U2247" s="1">
        <v>50000</v>
      </c>
      <c r="V2247" s="1">
        <v>0</v>
      </c>
      <c r="W2247" s="1">
        <v>50000</v>
      </c>
      <c r="X2247" s="1">
        <v>0</v>
      </c>
      <c r="Y2247" s="1">
        <v>0</v>
      </c>
      <c r="Z2247" s="1">
        <v>0</v>
      </c>
      <c r="AA2247" s="1">
        <v>0</v>
      </c>
      <c r="AB2247" s="1">
        <v>0</v>
      </c>
      <c r="AC2247" s="1">
        <v>0</v>
      </c>
      <c r="AD2247" s="1">
        <v>0</v>
      </c>
    </row>
    <row r="2248" spans="1:30" s="20" customFormat="1" ht="36" customHeight="1" x14ac:dyDescent="0.25">
      <c r="A2248" s="2">
        <f t="shared" si="1265"/>
        <v>2168</v>
      </c>
      <c r="B2248" s="3">
        <f t="shared" si="1266"/>
        <v>2168</v>
      </c>
      <c r="C2248" s="29" t="s">
        <v>1359</v>
      </c>
      <c r="D2248" s="4">
        <f t="shared" si="1267"/>
        <v>30710975.200000003</v>
      </c>
      <c r="E2248" s="1">
        <f t="shared" si="1268"/>
        <v>15256675.200000001</v>
      </c>
      <c r="F2248" s="1">
        <f>804*4548.8</f>
        <v>3657235.2</v>
      </c>
      <c r="G2248" s="1">
        <f>1693*4548.8</f>
        <v>7701118.4000000004</v>
      </c>
      <c r="H2248" s="1">
        <f>390*4548.8</f>
        <v>1774032</v>
      </c>
      <c r="I2248" s="1">
        <v>0</v>
      </c>
      <c r="J2248" s="1">
        <f>467*4548.8</f>
        <v>2124289.6</v>
      </c>
      <c r="K2248" s="1">
        <v>0</v>
      </c>
      <c r="L2248" s="2">
        <v>0</v>
      </c>
      <c r="M2248" s="1">
        <v>0</v>
      </c>
      <c r="N2248" s="1">
        <v>1110</v>
      </c>
      <c r="O2248" s="1">
        <f>N2248*7750</f>
        <v>8602500</v>
      </c>
      <c r="P2248" s="1">
        <v>0</v>
      </c>
      <c r="Q2248" s="1">
        <f t="shared" si="1269"/>
        <v>0</v>
      </c>
      <c r="R2248" s="1">
        <v>1800</v>
      </c>
      <c r="S2248" s="1">
        <f t="shared" si="1270"/>
        <v>6751800</v>
      </c>
      <c r="T2248" s="1">
        <v>0</v>
      </c>
      <c r="U2248" s="1">
        <v>50000</v>
      </c>
      <c r="V2248" s="1">
        <v>0</v>
      </c>
      <c r="W2248" s="1">
        <v>50000</v>
      </c>
      <c r="X2248" s="1">
        <v>0</v>
      </c>
      <c r="Y2248" s="1">
        <v>0</v>
      </c>
      <c r="Z2248" s="1">
        <v>0</v>
      </c>
      <c r="AA2248" s="1">
        <v>0</v>
      </c>
      <c r="AB2248" s="1">
        <v>0</v>
      </c>
      <c r="AC2248" s="1">
        <v>0</v>
      </c>
      <c r="AD2248" s="1">
        <v>0</v>
      </c>
    </row>
    <row r="2249" spans="1:30" s="20" customFormat="1" ht="36" customHeight="1" x14ac:dyDescent="0.25">
      <c r="A2249" s="2">
        <f t="shared" si="1265"/>
        <v>2169</v>
      </c>
      <c r="B2249" s="3">
        <f t="shared" si="1266"/>
        <v>2169</v>
      </c>
      <c r="C2249" s="19" t="s">
        <v>1360</v>
      </c>
      <c r="D2249" s="4">
        <f t="shared" si="1267"/>
        <v>6960819.5999999996</v>
      </c>
      <c r="E2249" s="1">
        <f t="shared" si="1268"/>
        <v>1309401.5999999999</v>
      </c>
      <c r="F2249" s="1">
        <f>804*390.4</f>
        <v>313881.59999999998</v>
      </c>
      <c r="G2249" s="1">
        <f>1693*390.4</f>
        <v>660947.19999999995</v>
      </c>
      <c r="H2249" s="1">
        <f>390*390.4</f>
        <v>152256</v>
      </c>
      <c r="I2249" s="1">
        <v>0</v>
      </c>
      <c r="J2249" s="1">
        <f>467*390.4</f>
        <v>182316.79999999999</v>
      </c>
      <c r="K2249" s="1">
        <v>0</v>
      </c>
      <c r="L2249" s="2">
        <v>0</v>
      </c>
      <c r="M2249" s="1">
        <v>0</v>
      </c>
      <c r="N2249" s="1">
        <v>514</v>
      </c>
      <c r="O2249" s="1">
        <f>N2249*7750</f>
        <v>3983500</v>
      </c>
      <c r="P2249" s="1">
        <v>0</v>
      </c>
      <c r="Q2249" s="1">
        <f t="shared" si="1269"/>
        <v>0</v>
      </c>
      <c r="R2249" s="1">
        <v>418</v>
      </c>
      <c r="S2249" s="1">
        <f t="shared" si="1270"/>
        <v>1567918</v>
      </c>
      <c r="T2249" s="1">
        <v>0</v>
      </c>
      <c r="U2249" s="1">
        <v>50000</v>
      </c>
      <c r="V2249" s="1">
        <v>0</v>
      </c>
      <c r="W2249" s="1">
        <v>50000</v>
      </c>
      <c r="X2249" s="1">
        <v>0</v>
      </c>
      <c r="Y2249" s="1">
        <v>0</v>
      </c>
      <c r="Z2249" s="1">
        <v>0</v>
      </c>
      <c r="AA2249" s="1">
        <v>0</v>
      </c>
      <c r="AB2249" s="1">
        <v>0</v>
      </c>
      <c r="AC2249" s="1">
        <v>0</v>
      </c>
      <c r="AD2249" s="1">
        <v>0</v>
      </c>
    </row>
    <row r="2250" spans="1:30" s="20" customFormat="1" ht="36" customHeight="1" x14ac:dyDescent="0.25">
      <c r="A2250" s="2">
        <f t="shared" si="1265"/>
        <v>2170</v>
      </c>
      <c r="B2250" s="3">
        <f t="shared" si="1266"/>
        <v>2170</v>
      </c>
      <c r="C2250" s="29" t="s">
        <v>1361</v>
      </c>
      <c r="D2250" s="4">
        <f t="shared" si="1267"/>
        <v>565057</v>
      </c>
      <c r="E2250" s="1">
        <f t="shared" si="1268"/>
        <v>515057</v>
      </c>
      <c r="F2250" s="1">
        <v>0</v>
      </c>
      <c r="G2250" s="1">
        <v>0</v>
      </c>
      <c r="H2250" s="1">
        <f>390*601</f>
        <v>234390</v>
      </c>
      <c r="I2250" s="1">
        <v>0</v>
      </c>
      <c r="J2250" s="1">
        <f>467*601</f>
        <v>280667</v>
      </c>
      <c r="K2250" s="1">
        <v>0</v>
      </c>
      <c r="L2250" s="2">
        <v>0</v>
      </c>
      <c r="M2250" s="1">
        <v>0</v>
      </c>
      <c r="N2250" s="1">
        <v>0</v>
      </c>
      <c r="O2250" s="1">
        <v>0</v>
      </c>
      <c r="P2250" s="1">
        <v>0</v>
      </c>
      <c r="Q2250" s="1">
        <f t="shared" si="1269"/>
        <v>0</v>
      </c>
      <c r="R2250" s="1">
        <v>0</v>
      </c>
      <c r="S2250" s="1">
        <f t="shared" si="1270"/>
        <v>0</v>
      </c>
      <c r="T2250" s="1">
        <v>0</v>
      </c>
      <c r="U2250" s="1">
        <v>50000</v>
      </c>
      <c r="V2250" s="1">
        <v>0</v>
      </c>
      <c r="W2250" s="1">
        <v>0</v>
      </c>
      <c r="X2250" s="1">
        <v>0</v>
      </c>
      <c r="Y2250" s="1">
        <v>0</v>
      </c>
      <c r="Z2250" s="1">
        <v>0</v>
      </c>
      <c r="AA2250" s="1">
        <v>0</v>
      </c>
      <c r="AB2250" s="1">
        <v>0</v>
      </c>
      <c r="AC2250" s="1">
        <v>0</v>
      </c>
      <c r="AD2250" s="1">
        <v>0</v>
      </c>
    </row>
    <row r="2251" spans="1:30" s="20" customFormat="1" ht="36" customHeight="1" x14ac:dyDescent="0.25">
      <c r="A2251" s="2">
        <f t="shared" si="1265"/>
        <v>2171</v>
      </c>
      <c r="B2251" s="6">
        <f>A2251</f>
        <v>2171</v>
      </c>
      <c r="C2251" s="29" t="s">
        <v>2105</v>
      </c>
      <c r="D2251" s="4">
        <f t="shared" si="1267"/>
        <v>2894192</v>
      </c>
      <c r="E2251" s="1">
        <f>SUM(F2251:K2251)</f>
        <v>2844192</v>
      </c>
      <c r="F2251" s="1">
        <f>804*848</f>
        <v>681792</v>
      </c>
      <c r="G2251" s="1">
        <f>1693*848</f>
        <v>1435664</v>
      </c>
      <c r="H2251" s="1">
        <f>390*848</f>
        <v>330720</v>
      </c>
      <c r="I2251" s="1">
        <v>0</v>
      </c>
      <c r="J2251" s="1">
        <f>467*848</f>
        <v>396016</v>
      </c>
      <c r="K2251" s="1">
        <v>0</v>
      </c>
      <c r="L2251" s="2">
        <v>0</v>
      </c>
      <c r="M2251" s="1">
        <f>L2251*3500000</f>
        <v>0</v>
      </c>
      <c r="N2251" s="1">
        <v>0</v>
      </c>
      <c r="O2251" s="1">
        <v>0</v>
      </c>
      <c r="P2251" s="1">
        <v>0</v>
      </c>
      <c r="Q2251" s="1">
        <v>0</v>
      </c>
      <c r="R2251" s="1">
        <v>0</v>
      </c>
      <c r="S2251" s="1">
        <v>0</v>
      </c>
      <c r="T2251" s="1">
        <v>0</v>
      </c>
      <c r="U2251" s="1">
        <v>50000</v>
      </c>
      <c r="V2251" s="1">
        <v>0</v>
      </c>
      <c r="W2251" s="1">
        <v>0</v>
      </c>
      <c r="X2251" s="1">
        <v>0</v>
      </c>
      <c r="Y2251" s="1">
        <v>0</v>
      </c>
      <c r="Z2251" s="1">
        <v>0</v>
      </c>
      <c r="AA2251" s="1">
        <v>0</v>
      </c>
      <c r="AB2251" s="1">
        <v>0</v>
      </c>
      <c r="AC2251" s="1">
        <v>0</v>
      </c>
      <c r="AD2251" s="1">
        <v>0</v>
      </c>
    </row>
    <row r="2252" spans="1:30" s="20" customFormat="1" ht="36" customHeight="1" x14ac:dyDescent="0.25">
      <c r="A2252" s="2">
        <f t="shared" si="1265"/>
        <v>2172</v>
      </c>
      <c r="B2252" s="6">
        <f>A2252</f>
        <v>2172</v>
      </c>
      <c r="C2252" s="29" t="s">
        <v>2106</v>
      </c>
      <c r="D2252" s="4">
        <f t="shared" si="1267"/>
        <v>5926580</v>
      </c>
      <c r="E2252" s="1">
        <f>SUM(F2252:K2252)</f>
        <v>0</v>
      </c>
      <c r="F2252" s="1">
        <v>0</v>
      </c>
      <c r="G2252" s="1">
        <v>0</v>
      </c>
      <c r="H2252" s="1">
        <v>0</v>
      </c>
      <c r="I2252" s="1">
        <v>0</v>
      </c>
      <c r="J2252" s="1">
        <v>0</v>
      </c>
      <c r="K2252" s="1">
        <v>0</v>
      </c>
      <c r="L2252" s="2">
        <v>0</v>
      </c>
      <c r="M2252" s="1">
        <f>L2252*3500000</f>
        <v>0</v>
      </c>
      <c r="N2252" s="1">
        <v>0</v>
      </c>
      <c r="O2252" s="1">
        <v>0</v>
      </c>
      <c r="P2252" s="1">
        <v>0</v>
      </c>
      <c r="Q2252" s="1">
        <v>0</v>
      </c>
      <c r="R2252" s="1">
        <v>1580</v>
      </c>
      <c r="S2252" s="1">
        <f>R2252*3751</f>
        <v>5926580</v>
      </c>
      <c r="T2252" s="1">
        <v>0</v>
      </c>
      <c r="U2252" s="1">
        <v>0</v>
      </c>
      <c r="V2252" s="1">
        <v>0</v>
      </c>
      <c r="W2252" s="1">
        <v>0</v>
      </c>
      <c r="X2252" s="1">
        <v>0</v>
      </c>
      <c r="Y2252" s="1">
        <v>0</v>
      </c>
      <c r="Z2252" s="1">
        <v>0</v>
      </c>
      <c r="AA2252" s="1">
        <v>0</v>
      </c>
      <c r="AB2252" s="1">
        <v>0</v>
      </c>
      <c r="AC2252" s="1">
        <v>0</v>
      </c>
      <c r="AD2252" s="1">
        <v>0</v>
      </c>
    </row>
    <row r="2253" spans="1:30" s="20" customFormat="1" ht="36" customHeight="1" x14ac:dyDescent="0.25">
      <c r="A2253" s="2">
        <f t="shared" si="1265"/>
        <v>2173</v>
      </c>
      <c r="B2253" s="3">
        <f t="shared" si="1266"/>
        <v>2173</v>
      </c>
      <c r="C2253" s="29" t="s">
        <v>1362</v>
      </c>
      <c r="D2253" s="4">
        <f t="shared" si="1267"/>
        <v>24033118.400000002</v>
      </c>
      <c r="E2253" s="1">
        <f t="shared" si="1268"/>
        <v>14008316.400000002</v>
      </c>
      <c r="F2253" s="1">
        <f>804*4176.6</f>
        <v>3357986.4000000004</v>
      </c>
      <c r="G2253" s="1">
        <f>1693*4176.6</f>
        <v>7070983.8000000007</v>
      </c>
      <c r="H2253" s="1">
        <f>390*4176.6</f>
        <v>1628874.0000000002</v>
      </c>
      <c r="I2253" s="1">
        <v>0</v>
      </c>
      <c r="J2253" s="1">
        <f>467*4176.6</f>
        <v>1950472.2000000002</v>
      </c>
      <c r="K2253" s="1">
        <v>0</v>
      </c>
      <c r="L2253" s="2">
        <v>0</v>
      </c>
      <c r="M2253" s="1">
        <v>0</v>
      </c>
      <c r="N2253" s="1">
        <v>910</v>
      </c>
      <c r="O2253" s="1">
        <f>N2253*4968</f>
        <v>4520880</v>
      </c>
      <c r="P2253" s="1">
        <v>50</v>
      </c>
      <c r="Q2253" s="1">
        <f t="shared" si="1269"/>
        <v>70000</v>
      </c>
      <c r="R2253" s="1">
        <v>1422</v>
      </c>
      <c r="S2253" s="1">
        <f t="shared" si="1270"/>
        <v>5333922</v>
      </c>
      <c r="T2253" s="1">
        <v>0</v>
      </c>
      <c r="U2253" s="1">
        <v>50000</v>
      </c>
      <c r="V2253" s="1">
        <v>0</v>
      </c>
      <c r="W2253" s="1">
        <v>50000</v>
      </c>
      <c r="X2253" s="1">
        <v>0</v>
      </c>
      <c r="Y2253" s="1">
        <v>0</v>
      </c>
      <c r="Z2253" s="1">
        <v>0</v>
      </c>
      <c r="AA2253" s="1">
        <v>0</v>
      </c>
      <c r="AB2253" s="1">
        <v>0</v>
      </c>
      <c r="AC2253" s="1">
        <v>0</v>
      </c>
      <c r="AD2253" s="1">
        <v>0</v>
      </c>
    </row>
    <row r="2254" spans="1:30" s="20" customFormat="1" ht="36" customHeight="1" x14ac:dyDescent="0.25">
      <c r="A2254" s="2">
        <f t="shared" si="1265"/>
        <v>2174</v>
      </c>
      <c r="B2254" s="6">
        <f t="shared" ref="B2254:B2260" si="1271">A2254</f>
        <v>2174</v>
      </c>
      <c r="C2254" s="29" t="s">
        <v>2107</v>
      </c>
      <c r="D2254" s="4">
        <f t="shared" si="1267"/>
        <v>8079654</v>
      </c>
      <c r="E2254" s="1">
        <f t="shared" ref="E2254:E2260" si="1272">SUM(F2254:K2254)</f>
        <v>0</v>
      </c>
      <c r="F2254" s="1">
        <v>0</v>
      </c>
      <c r="G2254" s="1">
        <v>0</v>
      </c>
      <c r="H2254" s="1">
        <v>0</v>
      </c>
      <c r="I2254" s="1">
        <v>0</v>
      </c>
      <c r="J2254" s="1">
        <v>0</v>
      </c>
      <c r="K2254" s="1">
        <v>0</v>
      </c>
      <c r="L2254" s="2">
        <v>0</v>
      </c>
      <c r="M2254" s="1">
        <f>L2254*3500000</f>
        <v>0</v>
      </c>
      <c r="N2254" s="1">
        <v>0</v>
      </c>
      <c r="O2254" s="1">
        <v>0</v>
      </c>
      <c r="P2254" s="1">
        <v>0</v>
      </c>
      <c r="Q2254" s="1">
        <v>0</v>
      </c>
      <c r="R2254" s="1">
        <v>2154</v>
      </c>
      <c r="S2254" s="1">
        <f>R2254*3751</f>
        <v>8079654</v>
      </c>
      <c r="T2254" s="1">
        <v>0</v>
      </c>
      <c r="U2254" s="1">
        <v>0</v>
      </c>
      <c r="V2254" s="1">
        <v>0</v>
      </c>
      <c r="W2254" s="1">
        <v>0</v>
      </c>
      <c r="X2254" s="1">
        <v>0</v>
      </c>
      <c r="Y2254" s="1">
        <v>0</v>
      </c>
      <c r="Z2254" s="1">
        <v>0</v>
      </c>
      <c r="AA2254" s="1">
        <v>0</v>
      </c>
      <c r="AB2254" s="1">
        <v>0</v>
      </c>
      <c r="AC2254" s="1">
        <v>0</v>
      </c>
      <c r="AD2254" s="1">
        <v>0</v>
      </c>
    </row>
    <row r="2255" spans="1:30" s="20" customFormat="1" ht="36" customHeight="1" x14ac:dyDescent="0.25">
      <c r="A2255" s="2">
        <f t="shared" si="1265"/>
        <v>2175</v>
      </c>
      <c r="B2255" s="6">
        <f t="shared" si="1271"/>
        <v>2175</v>
      </c>
      <c r="C2255" s="29" t="s">
        <v>2108</v>
      </c>
      <c r="D2255" s="4">
        <f t="shared" si="1267"/>
        <v>4268661.1999999993</v>
      </c>
      <c r="E2255" s="1">
        <f t="shared" si="1272"/>
        <v>4218661.1999999993</v>
      </c>
      <c r="F2255" s="1">
        <f>804*1257.8</f>
        <v>1011271.2</v>
      </c>
      <c r="G2255" s="1">
        <f>1693*1257.8</f>
        <v>2129455.4</v>
      </c>
      <c r="H2255" s="1">
        <f>390*1257.8</f>
        <v>490542</v>
      </c>
      <c r="I2255" s="1">
        <v>0</v>
      </c>
      <c r="J2255" s="1">
        <f>467*1257.8</f>
        <v>587392.6</v>
      </c>
      <c r="K2255" s="1">
        <v>0</v>
      </c>
      <c r="L2255" s="2">
        <v>0</v>
      </c>
      <c r="M2255" s="1">
        <f>L2255*3500000</f>
        <v>0</v>
      </c>
      <c r="N2255" s="1">
        <v>0</v>
      </c>
      <c r="O2255" s="1">
        <v>0</v>
      </c>
      <c r="P2255" s="1">
        <v>0</v>
      </c>
      <c r="Q2255" s="1">
        <v>0</v>
      </c>
      <c r="R2255" s="1">
        <v>0</v>
      </c>
      <c r="S2255" s="1">
        <v>0</v>
      </c>
      <c r="T2255" s="1">
        <v>0</v>
      </c>
      <c r="U2255" s="1">
        <v>50000</v>
      </c>
      <c r="V2255" s="1">
        <v>0</v>
      </c>
      <c r="W2255" s="1">
        <v>0</v>
      </c>
      <c r="X2255" s="1">
        <v>0</v>
      </c>
      <c r="Y2255" s="1">
        <v>0</v>
      </c>
      <c r="Z2255" s="1">
        <v>0</v>
      </c>
      <c r="AA2255" s="1">
        <v>0</v>
      </c>
      <c r="AB2255" s="1">
        <v>0</v>
      </c>
      <c r="AC2255" s="1">
        <v>0</v>
      </c>
      <c r="AD2255" s="1">
        <v>0</v>
      </c>
    </row>
    <row r="2256" spans="1:30" s="20" customFormat="1" ht="36" customHeight="1" x14ac:dyDescent="0.25">
      <c r="A2256" s="2">
        <f t="shared" si="1265"/>
        <v>2176</v>
      </c>
      <c r="B2256" s="6">
        <f t="shared" si="1271"/>
        <v>2176</v>
      </c>
      <c r="C2256" s="29" t="s">
        <v>2109</v>
      </c>
      <c r="D2256" s="4">
        <f t="shared" si="1267"/>
        <v>4872381.1999999993</v>
      </c>
      <c r="E2256" s="1">
        <f t="shared" si="1272"/>
        <v>4822381.1999999993</v>
      </c>
      <c r="F2256" s="1">
        <f>804*1437.8</f>
        <v>1155991.2</v>
      </c>
      <c r="G2256" s="1">
        <f>1693*1437.8</f>
        <v>2434195.4</v>
      </c>
      <c r="H2256" s="1">
        <f>390*1437.8</f>
        <v>560742</v>
      </c>
      <c r="I2256" s="1">
        <v>0</v>
      </c>
      <c r="J2256" s="1">
        <f>467*1437.8</f>
        <v>671452.6</v>
      </c>
      <c r="K2256" s="1">
        <v>0</v>
      </c>
      <c r="L2256" s="2">
        <v>0</v>
      </c>
      <c r="M2256" s="1">
        <f>L2256*3500000</f>
        <v>0</v>
      </c>
      <c r="N2256" s="1">
        <v>0</v>
      </c>
      <c r="O2256" s="1">
        <v>0</v>
      </c>
      <c r="P2256" s="1">
        <v>0</v>
      </c>
      <c r="Q2256" s="1">
        <v>0</v>
      </c>
      <c r="R2256" s="1">
        <v>0</v>
      </c>
      <c r="S2256" s="1">
        <v>0</v>
      </c>
      <c r="T2256" s="1">
        <v>0</v>
      </c>
      <c r="U2256" s="1">
        <v>50000</v>
      </c>
      <c r="V2256" s="1">
        <v>0</v>
      </c>
      <c r="W2256" s="1">
        <v>0</v>
      </c>
      <c r="X2256" s="1">
        <v>0</v>
      </c>
      <c r="Y2256" s="1">
        <v>0</v>
      </c>
      <c r="Z2256" s="1">
        <v>0</v>
      </c>
      <c r="AA2256" s="1">
        <v>0</v>
      </c>
      <c r="AB2256" s="1">
        <v>0</v>
      </c>
      <c r="AC2256" s="1">
        <v>0</v>
      </c>
      <c r="AD2256" s="1">
        <v>0</v>
      </c>
    </row>
    <row r="2257" spans="1:30" s="20" customFormat="1" ht="36" customHeight="1" x14ac:dyDescent="0.25">
      <c r="A2257" s="2">
        <f t="shared" si="1265"/>
        <v>2177</v>
      </c>
      <c r="B2257" s="6">
        <f t="shared" si="1271"/>
        <v>2177</v>
      </c>
      <c r="C2257" s="29" t="s">
        <v>2110</v>
      </c>
      <c r="D2257" s="4">
        <f t="shared" si="1267"/>
        <v>8375983</v>
      </c>
      <c r="E2257" s="1">
        <f t="shared" si="1272"/>
        <v>0</v>
      </c>
      <c r="F2257" s="1">
        <v>0</v>
      </c>
      <c r="G2257" s="1">
        <v>0</v>
      </c>
      <c r="H2257" s="1">
        <v>0</v>
      </c>
      <c r="I2257" s="1">
        <v>0</v>
      </c>
      <c r="J2257" s="1">
        <v>0</v>
      </c>
      <c r="K2257" s="1">
        <v>0</v>
      </c>
      <c r="L2257" s="2">
        <v>0</v>
      </c>
      <c r="M2257" s="1">
        <f>L2257*3500000</f>
        <v>0</v>
      </c>
      <c r="N2257" s="1">
        <v>0</v>
      </c>
      <c r="O2257" s="1">
        <v>0</v>
      </c>
      <c r="P2257" s="1">
        <v>0</v>
      </c>
      <c r="Q2257" s="1">
        <v>0</v>
      </c>
      <c r="R2257" s="1">
        <v>2233</v>
      </c>
      <c r="S2257" s="1">
        <f>R2257*3751</f>
        <v>8375983</v>
      </c>
      <c r="T2257" s="1">
        <v>0</v>
      </c>
      <c r="U2257" s="1">
        <v>0</v>
      </c>
      <c r="V2257" s="1">
        <v>0</v>
      </c>
      <c r="W2257" s="1">
        <v>0</v>
      </c>
      <c r="X2257" s="1">
        <v>0</v>
      </c>
      <c r="Y2257" s="1">
        <v>0</v>
      </c>
      <c r="Z2257" s="1">
        <v>0</v>
      </c>
      <c r="AA2257" s="1">
        <v>0</v>
      </c>
      <c r="AB2257" s="1">
        <v>0</v>
      </c>
      <c r="AC2257" s="1">
        <v>0</v>
      </c>
      <c r="AD2257" s="1">
        <v>0</v>
      </c>
    </row>
    <row r="2258" spans="1:30" s="20" customFormat="1" ht="36" customHeight="1" x14ac:dyDescent="0.25">
      <c r="A2258" s="2">
        <f t="shared" si="1265"/>
        <v>2178</v>
      </c>
      <c r="B2258" s="3">
        <f t="shared" si="1271"/>
        <v>2178</v>
      </c>
      <c r="C2258" s="29" t="s">
        <v>134</v>
      </c>
      <c r="D2258" s="4">
        <f t="shared" si="1267"/>
        <v>1875500</v>
      </c>
      <c r="E2258" s="1">
        <f t="shared" si="1272"/>
        <v>0</v>
      </c>
      <c r="F2258" s="1">
        <v>0</v>
      </c>
      <c r="G2258" s="1">
        <v>0</v>
      </c>
      <c r="H2258" s="1">
        <v>0</v>
      </c>
      <c r="I2258" s="1">
        <v>0</v>
      </c>
      <c r="J2258" s="1">
        <v>0</v>
      </c>
      <c r="K2258" s="1">
        <v>0</v>
      </c>
      <c r="L2258" s="2">
        <v>0</v>
      </c>
      <c r="M2258" s="1">
        <v>0</v>
      </c>
      <c r="N2258" s="1">
        <v>0</v>
      </c>
      <c r="O2258" s="1">
        <v>0</v>
      </c>
      <c r="P2258" s="1">
        <v>0</v>
      </c>
      <c r="Q2258" s="1">
        <v>0</v>
      </c>
      <c r="R2258" s="1">
        <v>500</v>
      </c>
      <c r="S2258" s="1">
        <f t="shared" si="1270"/>
        <v>1875500</v>
      </c>
      <c r="T2258" s="1">
        <v>0</v>
      </c>
      <c r="U2258" s="1">
        <v>0</v>
      </c>
      <c r="V2258" s="1">
        <v>0</v>
      </c>
      <c r="W2258" s="1">
        <v>0</v>
      </c>
      <c r="X2258" s="1">
        <v>0</v>
      </c>
      <c r="Y2258" s="1">
        <v>0</v>
      </c>
      <c r="Z2258" s="1">
        <v>0</v>
      </c>
      <c r="AA2258" s="1">
        <v>0</v>
      </c>
      <c r="AB2258" s="1">
        <v>0</v>
      </c>
      <c r="AC2258" s="1">
        <v>0</v>
      </c>
      <c r="AD2258" s="1">
        <v>0</v>
      </c>
    </row>
    <row r="2259" spans="1:30" s="20" customFormat="1" ht="36" customHeight="1" x14ac:dyDescent="0.25">
      <c r="A2259" s="2">
        <f t="shared" si="1265"/>
        <v>2179</v>
      </c>
      <c r="B2259" s="6">
        <f t="shared" si="1271"/>
        <v>2179</v>
      </c>
      <c r="C2259" s="29" t="s">
        <v>2111</v>
      </c>
      <c r="D2259" s="4">
        <f t="shared" si="1267"/>
        <v>1500400</v>
      </c>
      <c r="E2259" s="1">
        <f t="shared" si="1272"/>
        <v>0</v>
      </c>
      <c r="F2259" s="1">
        <v>0</v>
      </c>
      <c r="G2259" s="1">
        <v>0</v>
      </c>
      <c r="H2259" s="1">
        <v>0</v>
      </c>
      <c r="I2259" s="1">
        <v>0</v>
      </c>
      <c r="J2259" s="1">
        <v>0</v>
      </c>
      <c r="K2259" s="1">
        <v>0</v>
      </c>
      <c r="L2259" s="2">
        <v>0</v>
      </c>
      <c r="M2259" s="1">
        <f>L2259*3500000</f>
        <v>0</v>
      </c>
      <c r="N2259" s="1">
        <v>0</v>
      </c>
      <c r="O2259" s="1">
        <v>0</v>
      </c>
      <c r="P2259" s="1">
        <v>0</v>
      </c>
      <c r="Q2259" s="1">
        <v>0</v>
      </c>
      <c r="R2259" s="1">
        <v>400</v>
      </c>
      <c r="S2259" s="1">
        <f>R2259*3751</f>
        <v>1500400</v>
      </c>
      <c r="T2259" s="1">
        <v>0</v>
      </c>
      <c r="U2259" s="1">
        <v>0</v>
      </c>
      <c r="V2259" s="1">
        <v>0</v>
      </c>
      <c r="W2259" s="1">
        <v>0</v>
      </c>
      <c r="X2259" s="1">
        <v>0</v>
      </c>
      <c r="Y2259" s="1">
        <v>0</v>
      </c>
      <c r="Z2259" s="1">
        <v>0</v>
      </c>
      <c r="AA2259" s="1">
        <v>0</v>
      </c>
      <c r="AB2259" s="1">
        <v>0</v>
      </c>
      <c r="AC2259" s="1">
        <v>0</v>
      </c>
      <c r="AD2259" s="1">
        <v>0</v>
      </c>
    </row>
    <row r="2260" spans="1:30" s="20" customFormat="1" ht="36" customHeight="1" x14ac:dyDescent="0.25">
      <c r="A2260" s="2">
        <f t="shared" si="1265"/>
        <v>2180</v>
      </c>
      <c r="B2260" s="6">
        <f t="shared" si="1271"/>
        <v>2180</v>
      </c>
      <c r="C2260" s="29" t="s">
        <v>2112</v>
      </c>
      <c r="D2260" s="4">
        <f t="shared" si="1267"/>
        <v>1762970</v>
      </c>
      <c r="E2260" s="1">
        <f t="shared" si="1272"/>
        <v>0</v>
      </c>
      <c r="F2260" s="1">
        <v>0</v>
      </c>
      <c r="G2260" s="1">
        <v>0</v>
      </c>
      <c r="H2260" s="1">
        <v>0</v>
      </c>
      <c r="I2260" s="1">
        <v>0</v>
      </c>
      <c r="J2260" s="1">
        <v>0</v>
      </c>
      <c r="K2260" s="1">
        <v>0</v>
      </c>
      <c r="L2260" s="2">
        <v>0</v>
      </c>
      <c r="M2260" s="1">
        <f>L2260*3500000</f>
        <v>0</v>
      </c>
      <c r="N2260" s="1">
        <v>0</v>
      </c>
      <c r="O2260" s="1">
        <v>0</v>
      </c>
      <c r="P2260" s="1">
        <v>0</v>
      </c>
      <c r="Q2260" s="1">
        <v>0</v>
      </c>
      <c r="R2260" s="1">
        <v>470</v>
      </c>
      <c r="S2260" s="1">
        <f>R2260*3751</f>
        <v>1762970</v>
      </c>
      <c r="T2260" s="1">
        <v>0</v>
      </c>
      <c r="U2260" s="1">
        <v>0</v>
      </c>
      <c r="V2260" s="1">
        <v>0</v>
      </c>
      <c r="W2260" s="1">
        <v>0</v>
      </c>
      <c r="X2260" s="1">
        <v>0</v>
      </c>
      <c r="Y2260" s="1">
        <v>0</v>
      </c>
      <c r="Z2260" s="1">
        <v>0</v>
      </c>
      <c r="AA2260" s="1">
        <v>0</v>
      </c>
      <c r="AB2260" s="1">
        <v>0</v>
      </c>
      <c r="AC2260" s="1">
        <v>0</v>
      </c>
      <c r="AD2260" s="1">
        <v>0</v>
      </c>
    </row>
    <row r="2261" spans="1:30" s="20" customFormat="1" ht="36" customHeight="1" x14ac:dyDescent="0.25">
      <c r="A2261" s="2">
        <f t="shared" si="1265"/>
        <v>2181</v>
      </c>
      <c r="B2261" s="3">
        <f t="shared" si="1266"/>
        <v>2181</v>
      </c>
      <c r="C2261" s="29" t="s">
        <v>1363</v>
      </c>
      <c r="D2261" s="4">
        <f t="shared" si="1267"/>
        <v>6476700</v>
      </c>
      <c r="E2261" s="1">
        <f t="shared" ref="E2261:E2274" si="1273">SUM(F2261:K2261)</f>
        <v>0</v>
      </c>
      <c r="F2261" s="1">
        <v>0</v>
      </c>
      <c r="G2261" s="1">
        <v>0</v>
      </c>
      <c r="H2261" s="1">
        <v>0</v>
      </c>
      <c r="I2261" s="1">
        <v>0</v>
      </c>
      <c r="J2261" s="1">
        <v>0</v>
      </c>
      <c r="K2261" s="1">
        <v>0</v>
      </c>
      <c r="L2261" s="2">
        <v>0</v>
      </c>
      <c r="M2261" s="1">
        <v>0</v>
      </c>
      <c r="N2261" s="1">
        <v>0</v>
      </c>
      <c r="O2261" s="1">
        <v>0</v>
      </c>
      <c r="P2261" s="1">
        <v>0</v>
      </c>
      <c r="Q2261" s="1">
        <f t="shared" ref="Q2261:Q2276" si="1274">P2261*1400</f>
        <v>0</v>
      </c>
      <c r="R2261" s="1">
        <v>1700</v>
      </c>
      <c r="S2261" s="1">
        <f t="shared" ref="S2261:S2276" si="1275">R2261*3751</f>
        <v>6376700</v>
      </c>
      <c r="T2261" s="1">
        <v>0</v>
      </c>
      <c r="U2261" s="1">
        <v>50000</v>
      </c>
      <c r="V2261" s="1">
        <v>0</v>
      </c>
      <c r="W2261" s="1">
        <v>50000</v>
      </c>
      <c r="X2261" s="1">
        <v>0</v>
      </c>
      <c r="Y2261" s="1">
        <v>0</v>
      </c>
      <c r="Z2261" s="1">
        <v>0</v>
      </c>
      <c r="AA2261" s="1">
        <v>0</v>
      </c>
      <c r="AB2261" s="1">
        <v>0</v>
      </c>
      <c r="AC2261" s="1">
        <v>0</v>
      </c>
      <c r="AD2261" s="1">
        <v>0</v>
      </c>
    </row>
    <row r="2262" spans="1:30" s="20" customFormat="1" ht="36" customHeight="1" x14ac:dyDescent="0.25">
      <c r="A2262" s="2">
        <f t="shared" si="1265"/>
        <v>2182</v>
      </c>
      <c r="B2262" s="6">
        <f>A2262</f>
        <v>2182</v>
      </c>
      <c r="C2262" s="29" t="s">
        <v>2113</v>
      </c>
      <c r="D2262" s="4">
        <f t="shared" si="1267"/>
        <v>2747957.5999999996</v>
      </c>
      <c r="E2262" s="1">
        <f>SUM(F2262:K2262)</f>
        <v>2697957.5999999996</v>
      </c>
      <c r="F2262" s="1">
        <f>804*804.4</f>
        <v>646737.6</v>
      </c>
      <c r="G2262" s="1">
        <f>1693*804.4</f>
        <v>1361849.2</v>
      </c>
      <c r="H2262" s="1">
        <f>390*804.4</f>
        <v>313716</v>
      </c>
      <c r="I2262" s="1">
        <v>0</v>
      </c>
      <c r="J2262" s="1">
        <f>467*804.4</f>
        <v>375654.8</v>
      </c>
      <c r="K2262" s="1">
        <v>0</v>
      </c>
      <c r="L2262" s="2">
        <v>0</v>
      </c>
      <c r="M2262" s="1">
        <f>L2262*3500000</f>
        <v>0</v>
      </c>
      <c r="N2262" s="1">
        <v>0</v>
      </c>
      <c r="O2262" s="1">
        <v>0</v>
      </c>
      <c r="P2262" s="1">
        <v>0</v>
      </c>
      <c r="Q2262" s="1">
        <v>0</v>
      </c>
      <c r="R2262" s="1">
        <v>0</v>
      </c>
      <c r="S2262" s="1">
        <v>0</v>
      </c>
      <c r="T2262" s="1">
        <v>0</v>
      </c>
      <c r="U2262" s="1">
        <v>50000</v>
      </c>
      <c r="V2262" s="1">
        <v>0</v>
      </c>
      <c r="W2262" s="1">
        <v>0</v>
      </c>
      <c r="X2262" s="1">
        <v>0</v>
      </c>
      <c r="Y2262" s="1">
        <v>0</v>
      </c>
      <c r="Z2262" s="1">
        <v>0</v>
      </c>
      <c r="AA2262" s="1">
        <v>0</v>
      </c>
      <c r="AB2262" s="1">
        <v>0</v>
      </c>
      <c r="AC2262" s="1">
        <v>0</v>
      </c>
      <c r="AD2262" s="1">
        <v>0</v>
      </c>
    </row>
    <row r="2263" spans="1:30" s="20" customFormat="1" ht="36" customHeight="1" x14ac:dyDescent="0.25">
      <c r="A2263" s="2">
        <f t="shared" si="1265"/>
        <v>2183</v>
      </c>
      <c r="B2263" s="6">
        <f>A2263</f>
        <v>2183</v>
      </c>
      <c r="C2263" s="29" t="s">
        <v>2114</v>
      </c>
      <c r="D2263" s="4">
        <f t="shared" si="1267"/>
        <v>529491.5</v>
      </c>
      <c r="E2263" s="1">
        <f>SUM(F2263:K2263)</f>
        <v>479491.5</v>
      </c>
      <c r="F2263" s="1">
        <v>0</v>
      </c>
      <c r="G2263" s="1">
        <v>0</v>
      </c>
      <c r="H2263" s="1">
        <f>390*559.5</f>
        <v>218205</v>
      </c>
      <c r="I2263" s="1">
        <v>0</v>
      </c>
      <c r="J2263" s="1">
        <f>467*559.5</f>
        <v>261286.5</v>
      </c>
      <c r="K2263" s="1">
        <v>0</v>
      </c>
      <c r="L2263" s="2">
        <v>0</v>
      </c>
      <c r="M2263" s="1">
        <f>L2263*3500000</f>
        <v>0</v>
      </c>
      <c r="N2263" s="1">
        <v>0</v>
      </c>
      <c r="O2263" s="1">
        <v>0</v>
      </c>
      <c r="P2263" s="1">
        <v>0</v>
      </c>
      <c r="Q2263" s="1">
        <v>0</v>
      </c>
      <c r="R2263" s="1">
        <v>0</v>
      </c>
      <c r="S2263" s="1">
        <v>0</v>
      </c>
      <c r="T2263" s="1">
        <v>0</v>
      </c>
      <c r="U2263" s="1">
        <v>50000</v>
      </c>
      <c r="V2263" s="1">
        <v>0</v>
      </c>
      <c r="W2263" s="1">
        <v>0</v>
      </c>
      <c r="X2263" s="1">
        <v>0</v>
      </c>
      <c r="Y2263" s="1">
        <v>0</v>
      </c>
      <c r="Z2263" s="1">
        <v>0</v>
      </c>
      <c r="AA2263" s="1">
        <v>0</v>
      </c>
      <c r="AB2263" s="1">
        <v>0</v>
      </c>
      <c r="AC2263" s="1">
        <v>0</v>
      </c>
      <c r="AD2263" s="1">
        <v>0</v>
      </c>
    </row>
    <row r="2264" spans="1:30" s="20" customFormat="1" ht="36" customHeight="1" x14ac:dyDescent="0.25">
      <c r="A2264" s="2">
        <f t="shared" si="1265"/>
        <v>2184</v>
      </c>
      <c r="B2264" s="3">
        <f t="shared" si="1266"/>
        <v>2184</v>
      </c>
      <c r="C2264" s="29" t="s">
        <v>1364</v>
      </c>
      <c r="D2264" s="4">
        <f t="shared" si="1267"/>
        <v>10236078.199999999</v>
      </c>
      <c r="E2264" s="1">
        <f t="shared" si="1273"/>
        <v>3012898.1999999997</v>
      </c>
      <c r="F2264" s="1">
        <f>804*898.3</f>
        <v>722233.2</v>
      </c>
      <c r="G2264" s="1">
        <f>1693*898.3</f>
        <v>1520821.9</v>
      </c>
      <c r="H2264" s="1">
        <f>390*898.3</f>
        <v>350337</v>
      </c>
      <c r="I2264" s="1">
        <v>0</v>
      </c>
      <c r="J2264" s="1">
        <f>467*898.3</f>
        <v>419506.1</v>
      </c>
      <c r="K2264" s="1">
        <v>0</v>
      </c>
      <c r="L2264" s="2">
        <v>0</v>
      </c>
      <c r="M2264" s="1">
        <v>0</v>
      </c>
      <c r="N2264" s="1">
        <v>590</v>
      </c>
      <c r="O2264" s="1">
        <f>N2264*7750</f>
        <v>4572500</v>
      </c>
      <c r="P2264" s="1">
        <v>0</v>
      </c>
      <c r="Q2264" s="1">
        <f t="shared" si="1274"/>
        <v>0</v>
      </c>
      <c r="R2264" s="1">
        <v>680</v>
      </c>
      <c r="S2264" s="1">
        <f t="shared" si="1275"/>
        <v>2550680</v>
      </c>
      <c r="T2264" s="1">
        <v>0</v>
      </c>
      <c r="U2264" s="1">
        <v>50000</v>
      </c>
      <c r="V2264" s="1">
        <v>0</v>
      </c>
      <c r="W2264" s="1">
        <v>50000</v>
      </c>
      <c r="X2264" s="1">
        <v>0</v>
      </c>
      <c r="Y2264" s="1">
        <v>0</v>
      </c>
      <c r="Z2264" s="1">
        <v>0</v>
      </c>
      <c r="AA2264" s="1">
        <v>0</v>
      </c>
      <c r="AB2264" s="1">
        <v>0</v>
      </c>
      <c r="AC2264" s="1">
        <v>0</v>
      </c>
      <c r="AD2264" s="1">
        <v>0</v>
      </c>
    </row>
    <row r="2265" spans="1:30" s="20" customFormat="1" ht="36" customHeight="1" x14ac:dyDescent="0.25">
      <c r="A2265" s="2">
        <f t="shared" si="1265"/>
        <v>2185</v>
      </c>
      <c r="B2265" s="3">
        <f>A2265</f>
        <v>2185</v>
      </c>
      <c r="C2265" s="19" t="s">
        <v>1366</v>
      </c>
      <c r="D2265" s="4">
        <f t="shared" si="1267"/>
        <v>12014601.799999999</v>
      </c>
      <c r="E2265" s="1">
        <f>SUM(F2265:K2265)</f>
        <v>8893801.7999999989</v>
      </c>
      <c r="F2265" s="1">
        <f>804*2651.7</f>
        <v>2131966.7999999998</v>
      </c>
      <c r="G2265" s="1">
        <f>1693*2651.7</f>
        <v>4489328.0999999996</v>
      </c>
      <c r="H2265" s="1">
        <f>390*2651.7</f>
        <v>1034162.9999999999</v>
      </c>
      <c r="I2265" s="1">
        <v>0</v>
      </c>
      <c r="J2265" s="1">
        <f>467*2651.7</f>
        <v>1238343.8999999999</v>
      </c>
      <c r="K2265" s="1">
        <v>0</v>
      </c>
      <c r="L2265" s="2">
        <v>0</v>
      </c>
      <c r="M2265" s="1">
        <v>0</v>
      </c>
      <c r="N2265" s="1">
        <v>0</v>
      </c>
      <c r="O2265" s="1">
        <v>0</v>
      </c>
      <c r="P2265" s="1">
        <v>50</v>
      </c>
      <c r="Q2265" s="1">
        <f>P2265*1400</f>
        <v>70000</v>
      </c>
      <c r="R2265" s="1">
        <v>800</v>
      </c>
      <c r="S2265" s="1">
        <f>R2265*3751</f>
        <v>3000800</v>
      </c>
      <c r="T2265" s="1">
        <v>0</v>
      </c>
      <c r="U2265" s="1">
        <v>0</v>
      </c>
      <c r="V2265" s="1">
        <v>0</v>
      </c>
      <c r="W2265" s="1">
        <v>50000</v>
      </c>
      <c r="X2265" s="1">
        <v>0</v>
      </c>
      <c r="Y2265" s="1">
        <v>0</v>
      </c>
      <c r="Z2265" s="1">
        <v>0</v>
      </c>
      <c r="AA2265" s="1">
        <v>0</v>
      </c>
      <c r="AB2265" s="1">
        <v>0</v>
      </c>
      <c r="AC2265" s="1">
        <v>0</v>
      </c>
      <c r="AD2265" s="1">
        <v>0</v>
      </c>
    </row>
    <row r="2266" spans="1:30" s="20" customFormat="1" ht="36" customHeight="1" x14ac:dyDescent="0.25">
      <c r="A2266" s="2">
        <f t="shared" si="1265"/>
        <v>2186</v>
      </c>
      <c r="B2266" s="3">
        <f t="shared" si="1266"/>
        <v>2186</v>
      </c>
      <c r="C2266" s="29" t="s">
        <v>1365</v>
      </c>
      <c r="D2266" s="4">
        <f t="shared" si="1267"/>
        <v>3304896.1999999997</v>
      </c>
      <c r="E2266" s="1">
        <f t="shared" si="1273"/>
        <v>1929556.1999999997</v>
      </c>
      <c r="F2266" s="1">
        <f>804*575.3</f>
        <v>462541.19999999995</v>
      </c>
      <c r="G2266" s="1">
        <f>1693*575.3</f>
        <v>973982.89999999991</v>
      </c>
      <c r="H2266" s="1">
        <f>390*575.3</f>
        <v>224366.99999999997</v>
      </c>
      <c r="I2266" s="1">
        <v>0</v>
      </c>
      <c r="J2266" s="1">
        <f>467*575.3</f>
        <v>268665.09999999998</v>
      </c>
      <c r="K2266" s="1">
        <v>0</v>
      </c>
      <c r="L2266" s="2">
        <v>0</v>
      </c>
      <c r="M2266" s="1">
        <v>0</v>
      </c>
      <c r="N2266" s="1">
        <v>0</v>
      </c>
      <c r="O2266" s="1">
        <v>0</v>
      </c>
      <c r="P2266" s="1">
        <v>0</v>
      </c>
      <c r="Q2266" s="1">
        <f t="shared" si="1274"/>
        <v>0</v>
      </c>
      <c r="R2266" s="1">
        <v>340</v>
      </c>
      <c r="S2266" s="1">
        <f t="shared" si="1275"/>
        <v>1275340</v>
      </c>
      <c r="T2266" s="1">
        <v>0</v>
      </c>
      <c r="U2266" s="1">
        <v>50000</v>
      </c>
      <c r="V2266" s="1">
        <v>0</v>
      </c>
      <c r="W2266" s="1">
        <v>50000</v>
      </c>
      <c r="X2266" s="1">
        <v>0</v>
      </c>
      <c r="Y2266" s="1">
        <v>0</v>
      </c>
      <c r="Z2266" s="1">
        <v>0</v>
      </c>
      <c r="AA2266" s="1">
        <v>0</v>
      </c>
      <c r="AB2266" s="1">
        <v>0</v>
      </c>
      <c r="AC2266" s="1">
        <v>0</v>
      </c>
      <c r="AD2266" s="1">
        <v>0</v>
      </c>
    </row>
    <row r="2267" spans="1:30" s="20" customFormat="1" ht="36" customHeight="1" x14ac:dyDescent="0.25">
      <c r="A2267" s="2">
        <f t="shared" si="1265"/>
        <v>2187</v>
      </c>
      <c r="B2267" s="6">
        <f>A2267</f>
        <v>2187</v>
      </c>
      <c r="C2267" s="29" t="s">
        <v>2115</v>
      </c>
      <c r="D2267" s="4">
        <f t="shared" si="1267"/>
        <v>4512682.5</v>
      </c>
      <c r="E2267" s="1">
        <f>SUM(F2267:K2267)</f>
        <v>4077682.5</v>
      </c>
      <c r="F2267" s="1">
        <f>804*1038.9</f>
        <v>835275.60000000009</v>
      </c>
      <c r="G2267" s="1">
        <f>1693*1038.9</f>
        <v>1758857.7000000002</v>
      </c>
      <c r="H2267" s="1">
        <f>390*1038.9</f>
        <v>405171.00000000006</v>
      </c>
      <c r="I2267" s="1">
        <f>571*1038.9</f>
        <v>593211.9</v>
      </c>
      <c r="J2267" s="1">
        <f>467*1038.9</f>
        <v>485166.30000000005</v>
      </c>
      <c r="K2267" s="1">
        <v>0</v>
      </c>
      <c r="L2267" s="2">
        <v>0</v>
      </c>
      <c r="M2267" s="1">
        <f>L2267*3500000</f>
        <v>0</v>
      </c>
      <c r="N2267" s="1">
        <v>0</v>
      </c>
      <c r="O2267" s="1">
        <v>0</v>
      </c>
      <c r="P2267" s="1">
        <v>275</v>
      </c>
      <c r="Q2267" s="1">
        <f>P2267*1400</f>
        <v>385000</v>
      </c>
      <c r="R2267" s="1">
        <v>0</v>
      </c>
      <c r="S2267" s="1">
        <v>0</v>
      </c>
      <c r="T2267" s="1">
        <v>0</v>
      </c>
      <c r="U2267" s="1">
        <v>50000</v>
      </c>
      <c r="V2267" s="1">
        <v>0</v>
      </c>
      <c r="W2267" s="1">
        <v>0</v>
      </c>
      <c r="X2267" s="1">
        <v>0</v>
      </c>
      <c r="Y2267" s="1">
        <v>0</v>
      </c>
      <c r="Z2267" s="1">
        <v>0</v>
      </c>
      <c r="AA2267" s="1">
        <v>0</v>
      </c>
      <c r="AB2267" s="1">
        <v>0</v>
      </c>
      <c r="AC2267" s="1">
        <v>0</v>
      </c>
      <c r="AD2267" s="1">
        <v>0</v>
      </c>
    </row>
    <row r="2268" spans="1:30" s="20" customFormat="1" ht="36" customHeight="1" x14ac:dyDescent="0.25">
      <c r="A2268" s="2">
        <f t="shared" si="1265"/>
        <v>2188</v>
      </c>
      <c r="B2268" s="3">
        <f t="shared" si="1266"/>
        <v>2188</v>
      </c>
      <c r="C2268" s="19" t="s">
        <v>1367</v>
      </c>
      <c r="D2268" s="4">
        <f t="shared" si="1267"/>
        <v>1639760</v>
      </c>
      <c r="E2268" s="1">
        <f t="shared" si="1273"/>
        <v>0</v>
      </c>
      <c r="F2268" s="1">
        <v>0</v>
      </c>
      <c r="G2268" s="1">
        <v>0</v>
      </c>
      <c r="H2268" s="1">
        <v>0</v>
      </c>
      <c r="I2268" s="1">
        <v>0</v>
      </c>
      <c r="J2268" s="1">
        <v>0</v>
      </c>
      <c r="K2268" s="1">
        <v>0</v>
      </c>
      <c r="L2268" s="2">
        <v>0</v>
      </c>
      <c r="M2268" s="1">
        <v>0</v>
      </c>
      <c r="N2268" s="1">
        <v>320</v>
      </c>
      <c r="O2268" s="1">
        <f>N2268*4968</f>
        <v>1589760</v>
      </c>
      <c r="P2268" s="1">
        <v>0</v>
      </c>
      <c r="Q2268" s="1">
        <f t="shared" si="1274"/>
        <v>0</v>
      </c>
      <c r="R2268" s="1">
        <v>0</v>
      </c>
      <c r="S2268" s="1">
        <f t="shared" si="1275"/>
        <v>0</v>
      </c>
      <c r="T2268" s="1">
        <v>0</v>
      </c>
      <c r="U2268" s="1">
        <v>0</v>
      </c>
      <c r="V2268" s="1">
        <v>0</v>
      </c>
      <c r="W2268" s="1">
        <v>50000</v>
      </c>
      <c r="X2268" s="1">
        <v>0</v>
      </c>
      <c r="Y2268" s="1">
        <v>0</v>
      </c>
      <c r="Z2268" s="1">
        <v>0</v>
      </c>
      <c r="AA2268" s="1">
        <v>0</v>
      </c>
      <c r="AB2268" s="1">
        <v>0</v>
      </c>
      <c r="AC2268" s="1">
        <v>0</v>
      </c>
      <c r="AD2268" s="1">
        <v>0</v>
      </c>
    </row>
    <row r="2269" spans="1:30" s="20" customFormat="1" ht="36" customHeight="1" x14ac:dyDescent="0.25">
      <c r="A2269" s="2">
        <f t="shared" si="1265"/>
        <v>2189</v>
      </c>
      <c r="B2269" s="3">
        <f t="shared" si="1266"/>
        <v>2189</v>
      </c>
      <c r="C2269" s="19" t="s">
        <v>1368</v>
      </c>
      <c r="D2269" s="4">
        <f t="shared" si="1267"/>
        <v>1639760</v>
      </c>
      <c r="E2269" s="1">
        <f t="shared" si="1273"/>
        <v>0</v>
      </c>
      <c r="F2269" s="1">
        <v>0</v>
      </c>
      <c r="G2269" s="1">
        <v>0</v>
      </c>
      <c r="H2269" s="1">
        <v>0</v>
      </c>
      <c r="I2269" s="1">
        <v>0</v>
      </c>
      <c r="J2269" s="1">
        <v>0</v>
      </c>
      <c r="K2269" s="1">
        <v>0</v>
      </c>
      <c r="L2269" s="2">
        <v>0</v>
      </c>
      <c r="M2269" s="1">
        <v>0</v>
      </c>
      <c r="N2269" s="1">
        <v>320</v>
      </c>
      <c r="O2269" s="1">
        <f>N2269*4968</f>
        <v>1589760</v>
      </c>
      <c r="P2269" s="1">
        <v>0</v>
      </c>
      <c r="Q2269" s="1">
        <f t="shared" si="1274"/>
        <v>0</v>
      </c>
      <c r="R2269" s="1">
        <v>0</v>
      </c>
      <c r="S2269" s="1">
        <f t="shared" si="1275"/>
        <v>0</v>
      </c>
      <c r="T2269" s="1">
        <v>0</v>
      </c>
      <c r="U2269" s="1">
        <v>0</v>
      </c>
      <c r="V2269" s="1">
        <v>0</v>
      </c>
      <c r="W2269" s="1">
        <v>50000</v>
      </c>
      <c r="X2269" s="1">
        <v>0</v>
      </c>
      <c r="Y2269" s="1">
        <v>0</v>
      </c>
      <c r="Z2269" s="1">
        <v>0</v>
      </c>
      <c r="AA2269" s="1">
        <v>0</v>
      </c>
      <c r="AB2269" s="1">
        <v>0</v>
      </c>
      <c r="AC2269" s="1">
        <v>0</v>
      </c>
      <c r="AD2269" s="1">
        <v>0</v>
      </c>
    </row>
    <row r="2270" spans="1:30" s="20" customFormat="1" ht="36" customHeight="1" x14ac:dyDescent="0.25">
      <c r="A2270" s="2">
        <f t="shared" si="1265"/>
        <v>2190</v>
      </c>
      <c r="B2270" s="3">
        <f t="shared" si="1266"/>
        <v>2190</v>
      </c>
      <c r="C2270" s="19" t="s">
        <v>1369</v>
      </c>
      <c r="D2270" s="4">
        <f t="shared" si="1267"/>
        <v>2722121.6</v>
      </c>
      <c r="E2270" s="1">
        <f t="shared" si="1273"/>
        <v>321921.59999999998</v>
      </c>
      <c r="F2270" s="1">
        <f>804*400.4</f>
        <v>321921.59999999998</v>
      </c>
      <c r="G2270" s="1">
        <v>0</v>
      </c>
      <c r="H2270" s="1">
        <v>0</v>
      </c>
      <c r="I2270" s="1">
        <v>0</v>
      </c>
      <c r="J2270" s="1">
        <v>0</v>
      </c>
      <c r="K2270" s="1">
        <v>0</v>
      </c>
      <c r="L2270" s="2">
        <v>0</v>
      </c>
      <c r="M2270" s="1">
        <v>0</v>
      </c>
      <c r="N2270" s="1">
        <v>200</v>
      </c>
      <c r="O2270" s="1">
        <f>N2270*7750</f>
        <v>1550000</v>
      </c>
      <c r="P2270" s="1">
        <v>0</v>
      </c>
      <c r="Q2270" s="1">
        <f t="shared" si="1274"/>
        <v>0</v>
      </c>
      <c r="R2270" s="1">
        <v>200</v>
      </c>
      <c r="S2270" s="1">
        <f t="shared" si="1275"/>
        <v>750200</v>
      </c>
      <c r="T2270" s="1">
        <v>0</v>
      </c>
      <c r="U2270" s="1">
        <v>50000</v>
      </c>
      <c r="V2270" s="1">
        <v>0</v>
      </c>
      <c r="W2270" s="1">
        <v>50000</v>
      </c>
      <c r="X2270" s="1">
        <v>0</v>
      </c>
      <c r="Y2270" s="1">
        <v>0</v>
      </c>
      <c r="Z2270" s="1">
        <v>0</v>
      </c>
      <c r="AA2270" s="1">
        <v>0</v>
      </c>
      <c r="AB2270" s="1">
        <v>0</v>
      </c>
      <c r="AC2270" s="1">
        <v>0</v>
      </c>
      <c r="AD2270" s="1">
        <v>0</v>
      </c>
    </row>
    <row r="2271" spans="1:30" s="20" customFormat="1" ht="36" customHeight="1" x14ac:dyDescent="0.25">
      <c r="A2271" s="2">
        <f t="shared" si="1265"/>
        <v>2191</v>
      </c>
      <c r="B2271" s="3">
        <f t="shared" si="1266"/>
        <v>2191</v>
      </c>
      <c r="C2271" s="19" t="s">
        <v>1370</v>
      </c>
      <c r="D2271" s="4">
        <f t="shared" si="1267"/>
        <v>2701217.6</v>
      </c>
      <c r="E2271" s="1">
        <f t="shared" si="1273"/>
        <v>301017.59999999998</v>
      </c>
      <c r="F2271" s="1">
        <f>804*374.4</f>
        <v>301017.59999999998</v>
      </c>
      <c r="G2271" s="1">
        <v>0</v>
      </c>
      <c r="H2271" s="1">
        <v>0</v>
      </c>
      <c r="I2271" s="1">
        <v>0</v>
      </c>
      <c r="J2271" s="1">
        <v>0</v>
      </c>
      <c r="K2271" s="1">
        <v>0</v>
      </c>
      <c r="L2271" s="2">
        <v>0</v>
      </c>
      <c r="M2271" s="1">
        <v>0</v>
      </c>
      <c r="N2271" s="1">
        <v>200</v>
      </c>
      <c r="O2271" s="1">
        <f>N2271*7750</f>
        <v>1550000</v>
      </c>
      <c r="P2271" s="1">
        <v>0</v>
      </c>
      <c r="Q2271" s="1">
        <f t="shared" si="1274"/>
        <v>0</v>
      </c>
      <c r="R2271" s="1">
        <v>200</v>
      </c>
      <c r="S2271" s="1">
        <f t="shared" si="1275"/>
        <v>750200</v>
      </c>
      <c r="T2271" s="1">
        <v>0</v>
      </c>
      <c r="U2271" s="1">
        <v>50000</v>
      </c>
      <c r="V2271" s="1">
        <v>0</v>
      </c>
      <c r="W2271" s="1">
        <v>50000</v>
      </c>
      <c r="X2271" s="1">
        <v>0</v>
      </c>
      <c r="Y2271" s="1">
        <v>0</v>
      </c>
      <c r="Z2271" s="1">
        <v>0</v>
      </c>
      <c r="AA2271" s="1">
        <v>0</v>
      </c>
      <c r="AB2271" s="1">
        <v>0</v>
      </c>
      <c r="AC2271" s="1">
        <v>0</v>
      </c>
      <c r="AD2271" s="1">
        <v>0</v>
      </c>
    </row>
    <row r="2272" spans="1:30" s="20" customFormat="1" ht="36" customHeight="1" x14ac:dyDescent="0.25">
      <c r="A2272" s="2">
        <f t="shared" si="1265"/>
        <v>2192</v>
      </c>
      <c r="B2272" s="3">
        <f t="shared" si="1266"/>
        <v>2192</v>
      </c>
      <c r="C2272" s="19" t="s">
        <v>1371</v>
      </c>
      <c r="D2272" s="4">
        <f t="shared" si="1267"/>
        <v>5116791.5999999996</v>
      </c>
      <c r="E2272" s="1">
        <f t="shared" si="1273"/>
        <v>416391.6</v>
      </c>
      <c r="F2272" s="1">
        <f>804*517.9</f>
        <v>416391.6</v>
      </c>
      <c r="G2272" s="1">
        <v>0</v>
      </c>
      <c r="H2272" s="1">
        <v>0</v>
      </c>
      <c r="I2272" s="1">
        <v>0</v>
      </c>
      <c r="J2272" s="1">
        <v>0</v>
      </c>
      <c r="K2272" s="1">
        <v>0</v>
      </c>
      <c r="L2272" s="2">
        <v>0</v>
      </c>
      <c r="M2272" s="1">
        <v>0</v>
      </c>
      <c r="N2272" s="1">
        <v>400</v>
      </c>
      <c r="O2272" s="1">
        <f>N2272*7750</f>
        <v>3100000</v>
      </c>
      <c r="P2272" s="1">
        <v>0</v>
      </c>
      <c r="Q2272" s="1">
        <f t="shared" si="1274"/>
        <v>0</v>
      </c>
      <c r="R2272" s="1">
        <v>400</v>
      </c>
      <c r="S2272" s="1">
        <f t="shared" si="1275"/>
        <v>1500400</v>
      </c>
      <c r="T2272" s="1">
        <v>0</v>
      </c>
      <c r="U2272" s="1">
        <v>50000</v>
      </c>
      <c r="V2272" s="1">
        <v>0</v>
      </c>
      <c r="W2272" s="1">
        <v>50000</v>
      </c>
      <c r="X2272" s="1">
        <v>0</v>
      </c>
      <c r="Y2272" s="1">
        <v>0</v>
      </c>
      <c r="Z2272" s="1">
        <v>0</v>
      </c>
      <c r="AA2272" s="1">
        <v>0</v>
      </c>
      <c r="AB2272" s="1">
        <v>0</v>
      </c>
      <c r="AC2272" s="1">
        <v>0</v>
      </c>
      <c r="AD2272" s="1">
        <v>0</v>
      </c>
    </row>
    <row r="2273" spans="1:30" s="20" customFormat="1" ht="36" customHeight="1" x14ac:dyDescent="0.25">
      <c r="A2273" s="2">
        <f t="shared" si="1265"/>
        <v>2193</v>
      </c>
      <c r="B2273" s="3">
        <f t="shared" si="1266"/>
        <v>2193</v>
      </c>
      <c r="C2273" s="19" t="s">
        <v>1372</v>
      </c>
      <c r="D2273" s="4">
        <f t="shared" si="1267"/>
        <v>4988770.0999999996</v>
      </c>
      <c r="E2273" s="1">
        <f t="shared" si="1273"/>
        <v>677854.10000000009</v>
      </c>
      <c r="F2273" s="1">
        <f>804*408.1</f>
        <v>328112.40000000002</v>
      </c>
      <c r="G2273" s="1">
        <v>0</v>
      </c>
      <c r="H2273" s="1">
        <f>390*408.1</f>
        <v>159159</v>
      </c>
      <c r="I2273" s="1">
        <v>0</v>
      </c>
      <c r="J2273" s="1">
        <f>467*408.1</f>
        <v>190582.7</v>
      </c>
      <c r="K2273" s="1">
        <v>0</v>
      </c>
      <c r="L2273" s="2">
        <v>0</v>
      </c>
      <c r="M2273" s="1">
        <v>0</v>
      </c>
      <c r="N2273" s="1">
        <v>342</v>
      </c>
      <c r="O2273" s="1">
        <f>N2273*7750</f>
        <v>2650500</v>
      </c>
      <c r="P2273" s="1">
        <v>0</v>
      </c>
      <c r="Q2273" s="1">
        <f t="shared" si="1274"/>
        <v>0</v>
      </c>
      <c r="R2273" s="1">
        <v>416</v>
      </c>
      <c r="S2273" s="1">
        <f t="shared" si="1275"/>
        <v>1560416</v>
      </c>
      <c r="T2273" s="1">
        <v>0</v>
      </c>
      <c r="U2273" s="1">
        <v>50000</v>
      </c>
      <c r="V2273" s="1">
        <v>0</v>
      </c>
      <c r="W2273" s="1">
        <v>50000</v>
      </c>
      <c r="X2273" s="1">
        <v>0</v>
      </c>
      <c r="Y2273" s="1">
        <v>0</v>
      </c>
      <c r="Z2273" s="1">
        <v>0</v>
      </c>
      <c r="AA2273" s="1">
        <v>0</v>
      </c>
      <c r="AB2273" s="1">
        <v>0</v>
      </c>
      <c r="AC2273" s="1">
        <v>0</v>
      </c>
      <c r="AD2273" s="1">
        <v>0</v>
      </c>
    </row>
    <row r="2274" spans="1:30" s="20" customFormat="1" ht="36" customHeight="1" x14ac:dyDescent="0.25">
      <c r="A2274" s="2">
        <f t="shared" si="1265"/>
        <v>2194</v>
      </c>
      <c r="B2274" s="3">
        <f t="shared" si="1266"/>
        <v>2194</v>
      </c>
      <c r="C2274" s="19" t="s">
        <v>1373</v>
      </c>
      <c r="D2274" s="4">
        <f t="shared" si="1267"/>
        <v>4996078.5</v>
      </c>
      <c r="E2274" s="1">
        <f t="shared" si="1273"/>
        <v>685162.5</v>
      </c>
      <c r="F2274" s="1">
        <f>804*412.5</f>
        <v>331650</v>
      </c>
      <c r="G2274" s="1">
        <v>0</v>
      </c>
      <c r="H2274" s="1">
        <f>390*412.5</f>
        <v>160875</v>
      </c>
      <c r="I2274" s="1">
        <v>0</v>
      </c>
      <c r="J2274" s="1">
        <f>467*412.5</f>
        <v>192637.5</v>
      </c>
      <c r="K2274" s="1">
        <v>0</v>
      </c>
      <c r="L2274" s="2">
        <v>0</v>
      </c>
      <c r="M2274" s="1">
        <v>0</v>
      </c>
      <c r="N2274" s="1">
        <v>342</v>
      </c>
      <c r="O2274" s="1">
        <f>N2274*7750</f>
        <v>2650500</v>
      </c>
      <c r="P2274" s="1">
        <v>0</v>
      </c>
      <c r="Q2274" s="1">
        <f t="shared" si="1274"/>
        <v>0</v>
      </c>
      <c r="R2274" s="1">
        <v>416</v>
      </c>
      <c r="S2274" s="1">
        <f t="shared" si="1275"/>
        <v>1560416</v>
      </c>
      <c r="T2274" s="1">
        <v>0</v>
      </c>
      <c r="U2274" s="1">
        <v>50000</v>
      </c>
      <c r="V2274" s="1">
        <v>0</v>
      </c>
      <c r="W2274" s="1">
        <v>50000</v>
      </c>
      <c r="X2274" s="1">
        <v>0</v>
      </c>
      <c r="Y2274" s="1">
        <v>0</v>
      </c>
      <c r="Z2274" s="1">
        <v>0</v>
      </c>
      <c r="AA2274" s="1">
        <v>0</v>
      </c>
      <c r="AB2274" s="1">
        <v>0</v>
      </c>
      <c r="AC2274" s="1">
        <v>0</v>
      </c>
      <c r="AD2274" s="1">
        <v>0</v>
      </c>
    </row>
    <row r="2275" spans="1:30" s="20" customFormat="1" ht="36" customHeight="1" x14ac:dyDescent="0.25">
      <c r="A2275" s="2">
        <f t="shared" si="1265"/>
        <v>2195</v>
      </c>
      <c r="B2275" s="3">
        <f>A2275</f>
        <v>2195</v>
      </c>
      <c r="C2275" s="19" t="s">
        <v>764</v>
      </c>
      <c r="D2275" s="4">
        <f t="shared" si="1267"/>
        <v>1500400</v>
      </c>
      <c r="E2275" s="1">
        <f>SUM(F2275:K2275)</f>
        <v>0</v>
      </c>
      <c r="F2275" s="1">
        <v>0</v>
      </c>
      <c r="G2275" s="1">
        <v>0</v>
      </c>
      <c r="H2275" s="1">
        <v>0</v>
      </c>
      <c r="I2275" s="1">
        <v>0</v>
      </c>
      <c r="J2275" s="1">
        <v>0</v>
      </c>
      <c r="K2275" s="1">
        <v>0</v>
      </c>
      <c r="L2275" s="2">
        <v>0</v>
      </c>
      <c r="M2275" s="1">
        <v>0</v>
      </c>
      <c r="N2275" s="1">
        <v>0</v>
      </c>
      <c r="O2275" s="1">
        <v>0</v>
      </c>
      <c r="P2275" s="1">
        <v>0</v>
      </c>
      <c r="Q2275" s="1">
        <v>0</v>
      </c>
      <c r="R2275" s="1">
        <v>400</v>
      </c>
      <c r="S2275" s="1">
        <f t="shared" si="1275"/>
        <v>1500400</v>
      </c>
      <c r="T2275" s="1">
        <v>0</v>
      </c>
      <c r="U2275" s="1">
        <v>0</v>
      </c>
      <c r="V2275" s="1">
        <v>0</v>
      </c>
      <c r="W2275" s="1">
        <v>0</v>
      </c>
      <c r="X2275" s="1">
        <v>0</v>
      </c>
      <c r="Y2275" s="1">
        <v>0</v>
      </c>
      <c r="Z2275" s="1">
        <v>0</v>
      </c>
      <c r="AA2275" s="1">
        <v>0</v>
      </c>
      <c r="AB2275" s="1">
        <v>0</v>
      </c>
      <c r="AC2275" s="1">
        <v>0</v>
      </c>
      <c r="AD2275" s="1">
        <v>0</v>
      </c>
    </row>
    <row r="2276" spans="1:30" s="20" customFormat="1" ht="36" customHeight="1" x14ac:dyDescent="0.25">
      <c r="A2276" s="2">
        <f t="shared" si="1265"/>
        <v>2196</v>
      </c>
      <c r="B2276" s="3">
        <f t="shared" si="1266"/>
        <v>2196</v>
      </c>
      <c r="C2276" s="19" t="s">
        <v>2555</v>
      </c>
      <c r="D2276" s="4">
        <f t="shared" si="1267"/>
        <v>3818576.6</v>
      </c>
      <c r="E2276" s="1">
        <f t="shared" ref="E2276:E2284" si="1276">SUM(F2276:K2276)</f>
        <v>336795.6</v>
      </c>
      <c r="F2276" s="1">
        <f>804*418.9</f>
        <v>336795.6</v>
      </c>
      <c r="G2276" s="1">
        <v>0</v>
      </c>
      <c r="H2276" s="1">
        <v>0</v>
      </c>
      <c r="I2276" s="1">
        <v>0</v>
      </c>
      <c r="J2276" s="1">
        <v>0</v>
      </c>
      <c r="K2276" s="1">
        <v>0</v>
      </c>
      <c r="L2276" s="2">
        <v>0</v>
      </c>
      <c r="M2276" s="1">
        <v>0</v>
      </c>
      <c r="N2276" s="1">
        <v>281</v>
      </c>
      <c r="O2276" s="1">
        <f>N2276*7750</f>
        <v>2177750</v>
      </c>
      <c r="P2276" s="1">
        <v>0</v>
      </c>
      <c r="Q2276" s="1">
        <f t="shared" si="1274"/>
        <v>0</v>
      </c>
      <c r="R2276" s="1">
        <v>281</v>
      </c>
      <c r="S2276" s="1">
        <f t="shared" si="1275"/>
        <v>1054031</v>
      </c>
      <c r="T2276" s="1">
        <v>150000</v>
      </c>
      <c r="U2276" s="1">
        <v>50000</v>
      </c>
      <c r="V2276" s="1">
        <v>0</v>
      </c>
      <c r="W2276" s="1">
        <v>50000</v>
      </c>
      <c r="X2276" s="1">
        <v>0</v>
      </c>
      <c r="Y2276" s="1">
        <v>0</v>
      </c>
      <c r="Z2276" s="1">
        <v>0</v>
      </c>
      <c r="AA2276" s="1">
        <v>0</v>
      </c>
      <c r="AB2276" s="1">
        <v>0</v>
      </c>
      <c r="AC2276" s="1">
        <v>0</v>
      </c>
      <c r="AD2276" s="1">
        <v>0</v>
      </c>
    </row>
    <row r="2277" spans="1:30" s="20" customFormat="1" ht="36" customHeight="1" x14ac:dyDescent="0.25">
      <c r="A2277" s="2">
        <f t="shared" si="1265"/>
        <v>2197</v>
      </c>
      <c r="B2277" s="3">
        <f t="shared" si="1266"/>
        <v>2197</v>
      </c>
      <c r="C2277" s="19" t="s">
        <v>2552</v>
      </c>
      <c r="D2277" s="4">
        <f t="shared" si="1267"/>
        <v>5095193.9000000004</v>
      </c>
      <c r="E2277" s="1">
        <f t="shared" si="1276"/>
        <v>2524553.9000000004</v>
      </c>
      <c r="F2277" s="1">
        <f>804*1519.9</f>
        <v>1221999.6000000001</v>
      </c>
      <c r="G2277" s="1">
        <v>0</v>
      </c>
      <c r="H2277" s="1">
        <f>390*1519.9</f>
        <v>592761</v>
      </c>
      <c r="I2277" s="1">
        <v>0</v>
      </c>
      <c r="J2277" s="1">
        <f>467*1519.9</f>
        <v>709793.3</v>
      </c>
      <c r="K2277" s="1">
        <v>0</v>
      </c>
      <c r="L2277" s="2">
        <v>0</v>
      </c>
      <c r="M2277" s="1">
        <v>0</v>
      </c>
      <c r="N2277" s="1">
        <v>0</v>
      </c>
      <c r="O2277" s="1">
        <v>0</v>
      </c>
      <c r="P2277" s="1">
        <v>50</v>
      </c>
      <c r="Q2277" s="1">
        <f t="shared" ref="Q2277:Q2284" si="1277">P2277*1400</f>
        <v>70000</v>
      </c>
      <c r="R2277" s="1">
        <v>640</v>
      </c>
      <c r="S2277" s="1">
        <f t="shared" ref="S2277:S2284" si="1278">R2277*3751</f>
        <v>2400640</v>
      </c>
      <c r="T2277" s="1">
        <v>0</v>
      </c>
      <c r="U2277" s="1">
        <v>50000</v>
      </c>
      <c r="V2277" s="1">
        <v>0</v>
      </c>
      <c r="W2277" s="1">
        <v>50000</v>
      </c>
      <c r="X2277" s="1">
        <v>0</v>
      </c>
      <c r="Y2277" s="1">
        <v>0</v>
      </c>
      <c r="Z2277" s="1">
        <v>0</v>
      </c>
      <c r="AA2277" s="1">
        <v>0</v>
      </c>
      <c r="AB2277" s="1">
        <v>0</v>
      </c>
      <c r="AC2277" s="1">
        <v>0</v>
      </c>
      <c r="AD2277" s="1">
        <v>0</v>
      </c>
    </row>
    <row r="2278" spans="1:30" s="20" customFormat="1" ht="36" customHeight="1" x14ac:dyDescent="0.25">
      <c r="A2278" s="2">
        <f t="shared" si="1265"/>
        <v>2198</v>
      </c>
      <c r="B2278" s="3">
        <f t="shared" si="1266"/>
        <v>2198</v>
      </c>
      <c r="C2278" s="19" t="s">
        <v>2553</v>
      </c>
      <c r="D2278" s="4">
        <f t="shared" si="1267"/>
        <v>6354937</v>
      </c>
      <c r="E2278" s="1">
        <f t="shared" si="1276"/>
        <v>3184137</v>
      </c>
      <c r="F2278" s="1">
        <f>804*1917</f>
        <v>1541268</v>
      </c>
      <c r="G2278" s="1">
        <v>0</v>
      </c>
      <c r="H2278" s="1">
        <f>390*1917</f>
        <v>747630</v>
      </c>
      <c r="I2278" s="1">
        <v>0</v>
      </c>
      <c r="J2278" s="1">
        <f>467*1917</f>
        <v>895239</v>
      </c>
      <c r="K2278" s="1">
        <v>0</v>
      </c>
      <c r="L2278" s="2">
        <v>0</v>
      </c>
      <c r="M2278" s="1">
        <v>0</v>
      </c>
      <c r="N2278" s="1">
        <v>0</v>
      </c>
      <c r="O2278" s="1">
        <v>0</v>
      </c>
      <c r="P2278" s="1">
        <v>50</v>
      </c>
      <c r="Q2278" s="1">
        <f t="shared" si="1277"/>
        <v>70000</v>
      </c>
      <c r="R2278" s="1">
        <v>800</v>
      </c>
      <c r="S2278" s="1">
        <f t="shared" si="1278"/>
        <v>3000800</v>
      </c>
      <c r="T2278" s="1">
        <v>0</v>
      </c>
      <c r="U2278" s="1">
        <v>50000</v>
      </c>
      <c r="V2278" s="1">
        <v>0</v>
      </c>
      <c r="W2278" s="1">
        <v>50000</v>
      </c>
      <c r="X2278" s="1">
        <v>0</v>
      </c>
      <c r="Y2278" s="1">
        <v>0</v>
      </c>
      <c r="Z2278" s="1">
        <v>0</v>
      </c>
      <c r="AA2278" s="1">
        <v>0</v>
      </c>
      <c r="AB2278" s="1">
        <v>0</v>
      </c>
      <c r="AC2278" s="1">
        <v>0</v>
      </c>
      <c r="AD2278" s="1">
        <v>0</v>
      </c>
    </row>
    <row r="2279" spans="1:30" s="20" customFormat="1" ht="36" customHeight="1" x14ac:dyDescent="0.25">
      <c r="A2279" s="2">
        <f t="shared" si="1265"/>
        <v>2199</v>
      </c>
      <c r="B2279" s="3">
        <f t="shared" si="1266"/>
        <v>2199</v>
      </c>
      <c r="C2279" s="19" t="s">
        <v>2554</v>
      </c>
      <c r="D2279" s="4">
        <f t="shared" si="1267"/>
        <v>3932166.0999999996</v>
      </c>
      <c r="E2279" s="1">
        <f t="shared" si="1276"/>
        <v>1541574.0999999999</v>
      </c>
      <c r="F2279" s="1">
        <f>804*928.1</f>
        <v>746192.4</v>
      </c>
      <c r="G2279" s="1">
        <v>0</v>
      </c>
      <c r="H2279" s="1">
        <f>390*928.1</f>
        <v>361959</v>
      </c>
      <c r="I2279" s="1">
        <v>0</v>
      </c>
      <c r="J2279" s="1">
        <f>467*928.1</f>
        <v>433422.7</v>
      </c>
      <c r="K2279" s="1">
        <v>0</v>
      </c>
      <c r="L2279" s="2">
        <v>0</v>
      </c>
      <c r="M2279" s="1">
        <v>0</v>
      </c>
      <c r="N2279" s="1">
        <v>0</v>
      </c>
      <c r="O2279" s="1">
        <v>0</v>
      </c>
      <c r="P2279" s="1">
        <v>50</v>
      </c>
      <c r="Q2279" s="1">
        <f t="shared" si="1277"/>
        <v>70000</v>
      </c>
      <c r="R2279" s="1">
        <v>592</v>
      </c>
      <c r="S2279" s="1">
        <f t="shared" si="1278"/>
        <v>2220592</v>
      </c>
      <c r="T2279" s="1">
        <v>0</v>
      </c>
      <c r="U2279" s="1">
        <v>50000</v>
      </c>
      <c r="V2279" s="1">
        <v>0</v>
      </c>
      <c r="W2279" s="1">
        <v>50000</v>
      </c>
      <c r="X2279" s="1">
        <v>0</v>
      </c>
      <c r="Y2279" s="1">
        <v>0</v>
      </c>
      <c r="Z2279" s="1">
        <v>0</v>
      </c>
      <c r="AA2279" s="1">
        <v>0</v>
      </c>
      <c r="AB2279" s="1">
        <v>0</v>
      </c>
      <c r="AC2279" s="1">
        <v>0</v>
      </c>
      <c r="AD2279" s="1">
        <v>0</v>
      </c>
    </row>
    <row r="2280" spans="1:30" s="20" customFormat="1" ht="36" customHeight="1" x14ac:dyDescent="0.25">
      <c r="A2280" s="2">
        <f t="shared" si="1265"/>
        <v>2200</v>
      </c>
      <c r="B2280" s="6">
        <f>A2280</f>
        <v>2200</v>
      </c>
      <c r="C2280" s="29" t="s">
        <v>2116</v>
      </c>
      <c r="D2280" s="4">
        <f t="shared" si="1267"/>
        <v>389931.2</v>
      </c>
      <c r="E2280" s="1">
        <f>SUM(F2280:K2280)</f>
        <v>339931.2</v>
      </c>
      <c r="F2280" s="1">
        <f>804*422.8</f>
        <v>339931.2</v>
      </c>
      <c r="G2280" s="1">
        <v>0</v>
      </c>
      <c r="H2280" s="1">
        <v>0</v>
      </c>
      <c r="I2280" s="1">
        <v>0</v>
      </c>
      <c r="J2280" s="1">
        <v>0</v>
      </c>
      <c r="K2280" s="1">
        <v>0</v>
      </c>
      <c r="L2280" s="2">
        <v>0</v>
      </c>
      <c r="M2280" s="1">
        <f>L2280*3500000</f>
        <v>0</v>
      </c>
      <c r="N2280" s="1">
        <v>0</v>
      </c>
      <c r="O2280" s="1">
        <v>0</v>
      </c>
      <c r="P2280" s="1">
        <v>0</v>
      </c>
      <c r="Q2280" s="1">
        <v>0</v>
      </c>
      <c r="R2280" s="1">
        <v>476</v>
      </c>
      <c r="S2280" s="1">
        <v>0</v>
      </c>
      <c r="T2280" s="1">
        <v>0</v>
      </c>
      <c r="U2280" s="1">
        <v>50000</v>
      </c>
      <c r="V2280" s="1">
        <v>0</v>
      </c>
      <c r="W2280" s="1">
        <v>0</v>
      </c>
      <c r="X2280" s="1">
        <v>0</v>
      </c>
      <c r="Y2280" s="1">
        <v>0</v>
      </c>
      <c r="Z2280" s="1">
        <v>0</v>
      </c>
      <c r="AA2280" s="1">
        <v>0</v>
      </c>
      <c r="AB2280" s="1">
        <v>0</v>
      </c>
      <c r="AC2280" s="1">
        <v>0</v>
      </c>
      <c r="AD2280" s="1">
        <v>0</v>
      </c>
    </row>
    <row r="2281" spans="1:30" s="20" customFormat="1" ht="36" customHeight="1" x14ac:dyDescent="0.25">
      <c r="A2281" s="2">
        <f t="shared" si="1265"/>
        <v>2201</v>
      </c>
      <c r="B2281" s="3">
        <f t="shared" si="1266"/>
        <v>2201</v>
      </c>
      <c r="C2281" s="19" t="s">
        <v>1375</v>
      </c>
      <c r="D2281" s="4">
        <f t="shared" si="1267"/>
        <v>4603855.5999999996</v>
      </c>
      <c r="E2281" s="1">
        <f t="shared" si="1276"/>
        <v>2175753.6</v>
      </c>
      <c r="F2281" s="1">
        <f>804*974.8</f>
        <v>783739.2</v>
      </c>
      <c r="G2281" s="1">
        <v>0</v>
      </c>
      <c r="H2281" s="1">
        <f>390*974.8</f>
        <v>380172</v>
      </c>
      <c r="I2281" s="1">
        <f>571*974.8</f>
        <v>556610.79999999993</v>
      </c>
      <c r="J2281" s="1">
        <f>467*974.8</f>
        <v>455231.6</v>
      </c>
      <c r="K2281" s="1">
        <v>0</v>
      </c>
      <c r="L2281" s="2">
        <v>0</v>
      </c>
      <c r="M2281" s="1">
        <v>0</v>
      </c>
      <c r="N2281" s="1">
        <v>0</v>
      </c>
      <c r="O2281" s="1">
        <v>0</v>
      </c>
      <c r="P2281" s="1">
        <v>50</v>
      </c>
      <c r="Q2281" s="1">
        <f t="shared" si="1277"/>
        <v>70000</v>
      </c>
      <c r="R2281" s="1">
        <v>602</v>
      </c>
      <c r="S2281" s="1">
        <f t="shared" si="1278"/>
        <v>2258102</v>
      </c>
      <c r="T2281" s="1">
        <v>0</v>
      </c>
      <c r="U2281" s="1">
        <v>50000</v>
      </c>
      <c r="V2281" s="1">
        <v>0</v>
      </c>
      <c r="W2281" s="1">
        <v>50000</v>
      </c>
      <c r="X2281" s="1">
        <v>0</v>
      </c>
      <c r="Y2281" s="1">
        <v>0</v>
      </c>
      <c r="Z2281" s="1">
        <v>0</v>
      </c>
      <c r="AA2281" s="1">
        <v>0</v>
      </c>
      <c r="AB2281" s="1">
        <v>0</v>
      </c>
      <c r="AC2281" s="1">
        <v>0</v>
      </c>
      <c r="AD2281" s="1">
        <v>0</v>
      </c>
    </row>
    <row r="2282" spans="1:30" s="20" customFormat="1" ht="36" customHeight="1" x14ac:dyDescent="0.25">
      <c r="A2282" s="2">
        <f t="shared" si="1265"/>
        <v>2202</v>
      </c>
      <c r="B2282" s="3">
        <f t="shared" si="1266"/>
        <v>2202</v>
      </c>
      <c r="C2282" s="19" t="s">
        <v>1376</v>
      </c>
      <c r="D2282" s="4">
        <f t="shared" si="1267"/>
        <v>5371887.5999999996</v>
      </c>
      <c r="E2282" s="1">
        <f t="shared" si="1276"/>
        <v>1314847.6000000001</v>
      </c>
      <c r="F2282" s="1">
        <f>804*791.6</f>
        <v>636446.4</v>
      </c>
      <c r="G2282" s="1">
        <v>0</v>
      </c>
      <c r="H2282" s="1">
        <f>390*791.6</f>
        <v>308724</v>
      </c>
      <c r="I2282" s="1">
        <v>0</v>
      </c>
      <c r="J2282" s="1">
        <f>467*791.6</f>
        <v>369677.2</v>
      </c>
      <c r="K2282" s="1">
        <v>0</v>
      </c>
      <c r="L2282" s="2">
        <v>0</v>
      </c>
      <c r="M2282" s="1">
        <v>0</v>
      </c>
      <c r="N2282" s="1">
        <v>420</v>
      </c>
      <c r="O2282" s="1">
        <f>N2282*4968</f>
        <v>2086560</v>
      </c>
      <c r="P2282" s="1">
        <v>50</v>
      </c>
      <c r="Q2282" s="1">
        <f t="shared" si="1277"/>
        <v>70000</v>
      </c>
      <c r="R2282" s="1">
        <v>480</v>
      </c>
      <c r="S2282" s="1">
        <f t="shared" si="1278"/>
        <v>1800480</v>
      </c>
      <c r="T2282" s="1">
        <v>0</v>
      </c>
      <c r="U2282" s="1">
        <v>50000</v>
      </c>
      <c r="V2282" s="1">
        <v>0</v>
      </c>
      <c r="W2282" s="1">
        <v>50000</v>
      </c>
      <c r="X2282" s="1">
        <v>0</v>
      </c>
      <c r="Y2282" s="1">
        <v>0</v>
      </c>
      <c r="Z2282" s="1">
        <v>0</v>
      </c>
      <c r="AA2282" s="1">
        <v>0</v>
      </c>
      <c r="AB2282" s="1">
        <v>0</v>
      </c>
      <c r="AC2282" s="1">
        <v>0</v>
      </c>
      <c r="AD2282" s="1">
        <v>0</v>
      </c>
    </row>
    <row r="2283" spans="1:30" s="20" customFormat="1" ht="36" customHeight="1" x14ac:dyDescent="0.25">
      <c r="A2283" s="2">
        <f t="shared" si="1265"/>
        <v>2203</v>
      </c>
      <c r="B2283" s="3">
        <f t="shared" si="1266"/>
        <v>2203</v>
      </c>
      <c r="C2283" s="19" t="s">
        <v>1377</v>
      </c>
      <c r="D2283" s="4">
        <f t="shared" si="1267"/>
        <v>2508754.7000000002</v>
      </c>
      <c r="E2283" s="1">
        <f t="shared" si="1276"/>
        <v>1283454.7000000002</v>
      </c>
      <c r="F2283" s="1">
        <f>804*772.7</f>
        <v>621250.80000000005</v>
      </c>
      <c r="G2283" s="1">
        <v>0</v>
      </c>
      <c r="H2283" s="1">
        <f>390*772.7</f>
        <v>301353</v>
      </c>
      <c r="I2283" s="1">
        <v>0</v>
      </c>
      <c r="J2283" s="1">
        <f>467*772.7</f>
        <v>360850.9</v>
      </c>
      <c r="K2283" s="1">
        <v>0</v>
      </c>
      <c r="L2283" s="2">
        <v>0</v>
      </c>
      <c r="M2283" s="1">
        <v>0</v>
      </c>
      <c r="N2283" s="1">
        <v>0</v>
      </c>
      <c r="O2283" s="1">
        <v>0</v>
      </c>
      <c r="P2283" s="1">
        <v>0</v>
      </c>
      <c r="Q2283" s="1">
        <f t="shared" si="1277"/>
        <v>0</v>
      </c>
      <c r="R2283" s="1">
        <v>300</v>
      </c>
      <c r="S2283" s="1">
        <f t="shared" si="1278"/>
        <v>1125300</v>
      </c>
      <c r="T2283" s="1">
        <v>0</v>
      </c>
      <c r="U2283" s="1">
        <v>50000</v>
      </c>
      <c r="V2283" s="1">
        <v>0</v>
      </c>
      <c r="W2283" s="1">
        <v>50000</v>
      </c>
      <c r="X2283" s="1">
        <v>0</v>
      </c>
      <c r="Y2283" s="1">
        <v>0</v>
      </c>
      <c r="Z2283" s="1">
        <v>0</v>
      </c>
      <c r="AA2283" s="1">
        <v>0</v>
      </c>
      <c r="AB2283" s="1">
        <v>0</v>
      </c>
      <c r="AC2283" s="1">
        <v>0</v>
      </c>
      <c r="AD2283" s="1">
        <v>0</v>
      </c>
    </row>
    <row r="2284" spans="1:30" s="20" customFormat="1" ht="36" customHeight="1" x14ac:dyDescent="0.25">
      <c r="A2284" s="2">
        <f t="shared" si="1265"/>
        <v>2204</v>
      </c>
      <c r="B2284" s="3">
        <f t="shared" si="1266"/>
        <v>2204</v>
      </c>
      <c r="C2284" s="19" t="s">
        <v>1378</v>
      </c>
      <c r="D2284" s="4">
        <f t="shared" si="1267"/>
        <v>4538801.4000000004</v>
      </c>
      <c r="E2284" s="1">
        <f t="shared" si="1276"/>
        <v>2188201.4000000004</v>
      </c>
      <c r="F2284" s="1">
        <f>804*1317.4</f>
        <v>1059189.6000000001</v>
      </c>
      <c r="G2284" s="1">
        <v>0</v>
      </c>
      <c r="H2284" s="1">
        <f>390*1317.4</f>
        <v>513786.00000000006</v>
      </c>
      <c r="I2284" s="1">
        <v>0</v>
      </c>
      <c r="J2284" s="1">
        <f>467*1317.4</f>
        <v>615225.80000000005</v>
      </c>
      <c r="K2284" s="1">
        <v>0</v>
      </c>
      <c r="L2284" s="2">
        <v>0</v>
      </c>
      <c r="M2284" s="1">
        <v>0</v>
      </c>
      <c r="N2284" s="1">
        <v>0</v>
      </c>
      <c r="O2284" s="1">
        <v>0</v>
      </c>
      <c r="P2284" s="1">
        <v>0</v>
      </c>
      <c r="Q2284" s="1">
        <f t="shared" si="1277"/>
        <v>0</v>
      </c>
      <c r="R2284" s="1">
        <v>600</v>
      </c>
      <c r="S2284" s="1">
        <f t="shared" si="1278"/>
        <v>2250600</v>
      </c>
      <c r="T2284" s="1">
        <v>0</v>
      </c>
      <c r="U2284" s="1">
        <v>50000</v>
      </c>
      <c r="V2284" s="1">
        <v>0</v>
      </c>
      <c r="W2284" s="1">
        <v>50000</v>
      </c>
      <c r="X2284" s="1">
        <v>0</v>
      </c>
      <c r="Y2284" s="1">
        <v>0</v>
      </c>
      <c r="Z2284" s="1">
        <v>0</v>
      </c>
      <c r="AA2284" s="1">
        <v>0</v>
      </c>
      <c r="AB2284" s="1">
        <v>0</v>
      </c>
      <c r="AC2284" s="1">
        <v>0</v>
      </c>
      <c r="AD2284" s="1">
        <v>0</v>
      </c>
    </row>
    <row r="2285" spans="1:30" s="20" customFormat="1" ht="54.95" customHeight="1" x14ac:dyDescent="0.25">
      <c r="A2285" s="3"/>
      <c r="B2285" s="47" t="s">
        <v>1979</v>
      </c>
      <c r="C2285" s="48"/>
      <c r="D2285" s="4">
        <f>SUM(D2286:D2314)</f>
        <v>187556986.62000003</v>
      </c>
      <c r="E2285" s="4">
        <f t="shared" ref="E2285:AD2285" si="1279">SUM(E2286:E2314)</f>
        <v>57071779.61999999</v>
      </c>
      <c r="F2285" s="4">
        <f t="shared" si="1279"/>
        <v>15774705.120000001</v>
      </c>
      <c r="G2285" s="4">
        <f t="shared" si="1279"/>
        <v>24730294.34</v>
      </c>
      <c r="H2285" s="4">
        <f t="shared" si="1279"/>
        <v>7284412.2000000002</v>
      </c>
      <c r="I2285" s="4">
        <f t="shared" si="1279"/>
        <v>559751.29999999993</v>
      </c>
      <c r="J2285" s="4">
        <f t="shared" si="1279"/>
        <v>8722616.6600000001</v>
      </c>
      <c r="K2285" s="4">
        <f t="shared" si="1279"/>
        <v>0</v>
      </c>
      <c r="L2285" s="17">
        <f t="shared" si="1279"/>
        <v>0</v>
      </c>
      <c r="M2285" s="4">
        <f t="shared" si="1279"/>
        <v>0</v>
      </c>
      <c r="N2285" s="4">
        <f t="shared" si="1279"/>
        <v>10858</v>
      </c>
      <c r="O2285" s="4">
        <f t="shared" si="1279"/>
        <v>76198544</v>
      </c>
      <c r="P2285" s="4">
        <f t="shared" si="1279"/>
        <v>250</v>
      </c>
      <c r="Q2285" s="4">
        <f t="shared" si="1279"/>
        <v>350000</v>
      </c>
      <c r="R2285" s="4">
        <f t="shared" si="1279"/>
        <v>13545</v>
      </c>
      <c r="S2285" s="4">
        <f t="shared" si="1279"/>
        <v>48436663</v>
      </c>
      <c r="T2285" s="4">
        <f t="shared" si="1279"/>
        <v>3000000</v>
      </c>
      <c r="U2285" s="4">
        <f t="shared" si="1279"/>
        <v>1400000</v>
      </c>
      <c r="V2285" s="4">
        <f t="shared" si="1279"/>
        <v>0</v>
      </c>
      <c r="W2285" s="4">
        <f t="shared" si="1279"/>
        <v>1100000</v>
      </c>
      <c r="X2285" s="4">
        <f t="shared" si="1279"/>
        <v>0</v>
      </c>
      <c r="Y2285" s="4">
        <f t="shared" si="1279"/>
        <v>0</v>
      </c>
      <c r="Z2285" s="4">
        <f t="shared" si="1279"/>
        <v>0</v>
      </c>
      <c r="AA2285" s="4">
        <f t="shared" si="1279"/>
        <v>0</v>
      </c>
      <c r="AB2285" s="4">
        <f t="shared" si="1279"/>
        <v>0</v>
      </c>
      <c r="AC2285" s="4">
        <f t="shared" si="1279"/>
        <v>0</v>
      </c>
      <c r="AD2285" s="4">
        <f t="shared" si="1279"/>
        <v>0</v>
      </c>
    </row>
    <row r="2286" spans="1:30" s="20" customFormat="1" ht="36" customHeight="1" x14ac:dyDescent="0.25">
      <c r="A2286" s="2">
        <f>ROW()-ROW($A$11)-70</f>
        <v>2205</v>
      </c>
      <c r="B2286" s="6">
        <f>A2286</f>
        <v>2205</v>
      </c>
      <c r="C2286" s="29" t="s">
        <v>2124</v>
      </c>
      <c r="D2286" s="4">
        <f t="shared" ref="D2286:D2314" si="1280">E2286+M2286+O2286+Q2286+S2286+T2286+U2286+V2286+W2286+X2286+Z2286+AA2286+AB2286+AC2286+AD2286</f>
        <v>13774215.5</v>
      </c>
      <c r="E2286" s="1">
        <f>SUM(F2286:K2286)</f>
        <v>3847677.4999999995</v>
      </c>
      <c r="F2286" s="1">
        <f>804*980.3</f>
        <v>788161.2</v>
      </c>
      <c r="G2286" s="1">
        <f>1693*980.3</f>
        <v>1659647.9</v>
      </c>
      <c r="H2286" s="1">
        <f>390*980.3</f>
        <v>382317</v>
      </c>
      <c r="I2286" s="1">
        <f>571*980.3</f>
        <v>559751.29999999993</v>
      </c>
      <c r="J2286" s="1">
        <f>467*980.3</f>
        <v>457800.1</v>
      </c>
      <c r="K2286" s="1">
        <v>0</v>
      </c>
      <c r="L2286" s="2">
        <v>0</v>
      </c>
      <c r="M2286" s="1">
        <f>L2286*3500000</f>
        <v>0</v>
      </c>
      <c r="N2286" s="1">
        <v>772</v>
      </c>
      <c r="O2286" s="1">
        <f>N2286*7750</f>
        <v>5983000</v>
      </c>
      <c r="P2286" s="1">
        <v>0</v>
      </c>
      <c r="Q2286" s="1">
        <v>0</v>
      </c>
      <c r="R2286" s="1">
        <v>1038</v>
      </c>
      <c r="S2286" s="1">
        <f>R2286*3751</f>
        <v>3893538</v>
      </c>
      <c r="T2286" s="1">
        <v>0</v>
      </c>
      <c r="U2286" s="1">
        <v>50000</v>
      </c>
      <c r="V2286" s="1">
        <v>0</v>
      </c>
      <c r="W2286" s="1">
        <v>0</v>
      </c>
      <c r="X2286" s="1">
        <v>0</v>
      </c>
      <c r="Y2286" s="1">
        <v>0</v>
      </c>
      <c r="Z2286" s="1">
        <v>0</v>
      </c>
      <c r="AA2286" s="1">
        <v>0</v>
      </c>
      <c r="AB2286" s="1">
        <v>0</v>
      </c>
      <c r="AC2286" s="1">
        <v>0</v>
      </c>
      <c r="AD2286" s="1">
        <v>0</v>
      </c>
    </row>
    <row r="2287" spans="1:30" s="20" customFormat="1" ht="36" customHeight="1" x14ac:dyDescent="0.25">
      <c r="A2287" s="2">
        <f t="shared" ref="A2287:A2314" si="1281">ROW()-ROW($A$11)-70</f>
        <v>2206</v>
      </c>
      <c r="B2287" s="6">
        <f>A2287</f>
        <v>2206</v>
      </c>
      <c r="C2287" s="29" t="s">
        <v>2125</v>
      </c>
      <c r="D2287" s="4">
        <f t="shared" si="1280"/>
        <v>4259392</v>
      </c>
      <c r="E2287" s="1">
        <f>SUM(F2287:K2287)</f>
        <v>450642</v>
      </c>
      <c r="F2287" s="1">
        <f>804*560.5</f>
        <v>450642</v>
      </c>
      <c r="G2287" s="1">
        <v>0</v>
      </c>
      <c r="H2287" s="1">
        <v>0</v>
      </c>
      <c r="I2287" s="1">
        <v>0</v>
      </c>
      <c r="J2287" s="1">
        <v>0</v>
      </c>
      <c r="K2287" s="1">
        <v>0</v>
      </c>
      <c r="L2287" s="2">
        <v>0</v>
      </c>
      <c r="M2287" s="1">
        <f>L2287*3500000</f>
        <v>0</v>
      </c>
      <c r="N2287" s="1">
        <v>485</v>
      </c>
      <c r="O2287" s="1">
        <f>N2287*7750</f>
        <v>3758750</v>
      </c>
      <c r="P2287" s="1">
        <v>0</v>
      </c>
      <c r="Q2287" s="1">
        <v>0</v>
      </c>
      <c r="R2287" s="1">
        <v>632</v>
      </c>
      <c r="S2287" s="1">
        <v>0</v>
      </c>
      <c r="T2287" s="1">
        <v>0</v>
      </c>
      <c r="U2287" s="1">
        <v>50000</v>
      </c>
      <c r="V2287" s="1">
        <v>0</v>
      </c>
      <c r="W2287" s="1">
        <v>0</v>
      </c>
      <c r="X2287" s="1">
        <v>0</v>
      </c>
      <c r="Y2287" s="1">
        <v>0</v>
      </c>
      <c r="Z2287" s="1">
        <v>0</v>
      </c>
      <c r="AA2287" s="1">
        <v>0</v>
      </c>
      <c r="AB2287" s="1">
        <v>0</v>
      </c>
      <c r="AC2287" s="1">
        <v>0</v>
      </c>
      <c r="AD2287" s="1">
        <v>0</v>
      </c>
    </row>
    <row r="2288" spans="1:30" s="20" customFormat="1" ht="36" customHeight="1" x14ac:dyDescent="0.25">
      <c r="A2288" s="2">
        <f t="shared" si="1281"/>
        <v>2207</v>
      </c>
      <c r="B2288" s="3">
        <f>A2288</f>
        <v>2207</v>
      </c>
      <c r="C2288" s="19" t="s">
        <v>1685</v>
      </c>
      <c r="D2288" s="4">
        <f t="shared" si="1280"/>
        <v>2434640</v>
      </c>
      <c r="E2288" s="1">
        <f>SUM(F2288:K2288)</f>
        <v>0</v>
      </c>
      <c r="F2288" s="1">
        <v>0</v>
      </c>
      <c r="G2288" s="1">
        <v>0</v>
      </c>
      <c r="H2288" s="1">
        <v>0</v>
      </c>
      <c r="I2288" s="1">
        <v>0</v>
      </c>
      <c r="J2288" s="1">
        <v>0</v>
      </c>
      <c r="K2288" s="1">
        <v>0</v>
      </c>
      <c r="L2288" s="2">
        <v>0</v>
      </c>
      <c r="M2288" s="1">
        <v>0</v>
      </c>
      <c r="N2288" s="1">
        <v>480</v>
      </c>
      <c r="O2288" s="1">
        <f>N2288*4968</f>
        <v>2384640</v>
      </c>
      <c r="P2288" s="1">
        <v>0</v>
      </c>
      <c r="Q2288" s="1">
        <f t="shared" ref="Q2288:Q2314" si="1282">P2288*1400</f>
        <v>0</v>
      </c>
      <c r="R2288" s="1">
        <v>0</v>
      </c>
      <c r="S2288" s="1">
        <f t="shared" ref="S2288:S2314" si="1283">R2288*3751</f>
        <v>0</v>
      </c>
      <c r="T2288" s="1">
        <v>0</v>
      </c>
      <c r="U2288" s="1">
        <v>0</v>
      </c>
      <c r="V2288" s="1">
        <v>0</v>
      </c>
      <c r="W2288" s="1">
        <v>50000</v>
      </c>
      <c r="X2288" s="1">
        <v>0</v>
      </c>
      <c r="Y2288" s="1">
        <v>0</v>
      </c>
      <c r="Z2288" s="1">
        <v>0</v>
      </c>
      <c r="AA2288" s="1">
        <v>0</v>
      </c>
      <c r="AB2288" s="1">
        <v>0</v>
      </c>
      <c r="AC2288" s="1">
        <v>0</v>
      </c>
      <c r="AD2288" s="1">
        <v>0</v>
      </c>
    </row>
    <row r="2289" spans="1:30" s="20" customFormat="1" ht="36" customHeight="1" x14ac:dyDescent="0.25">
      <c r="A2289" s="2">
        <f t="shared" si="1281"/>
        <v>2208</v>
      </c>
      <c r="B2289" s="3">
        <f t="shared" si="1266"/>
        <v>2208</v>
      </c>
      <c r="C2289" s="19" t="s">
        <v>1379</v>
      </c>
      <c r="D2289" s="4">
        <f t="shared" si="1280"/>
        <v>6114646.2999999998</v>
      </c>
      <c r="E2289" s="1">
        <f t="shared" ref="E2289:E2314" si="1284">SUM(F2289:K2289)</f>
        <v>938963.29999999993</v>
      </c>
      <c r="F2289" s="1">
        <f>804*565.3</f>
        <v>454501.19999999995</v>
      </c>
      <c r="G2289" s="1">
        <v>0</v>
      </c>
      <c r="H2289" s="1">
        <f>390*565.3</f>
        <v>220466.99999999997</v>
      </c>
      <c r="I2289" s="1">
        <v>0</v>
      </c>
      <c r="J2289" s="1">
        <f>467*565.3</f>
        <v>263995.09999999998</v>
      </c>
      <c r="K2289" s="1">
        <v>0</v>
      </c>
      <c r="L2289" s="2">
        <v>0</v>
      </c>
      <c r="M2289" s="1">
        <v>0</v>
      </c>
      <c r="N2289" s="1">
        <v>426</v>
      </c>
      <c r="O2289" s="1">
        <f>N2289*7750</f>
        <v>3301500</v>
      </c>
      <c r="P2289" s="1">
        <v>0</v>
      </c>
      <c r="Q2289" s="1">
        <f t="shared" si="1282"/>
        <v>0</v>
      </c>
      <c r="R2289" s="1">
        <v>433</v>
      </c>
      <c r="S2289" s="1">
        <f t="shared" si="1283"/>
        <v>1624183</v>
      </c>
      <c r="T2289" s="1">
        <v>150000</v>
      </c>
      <c r="U2289" s="1">
        <v>50000</v>
      </c>
      <c r="V2289" s="1">
        <v>0</v>
      </c>
      <c r="W2289" s="1">
        <v>50000</v>
      </c>
      <c r="X2289" s="1">
        <v>0</v>
      </c>
      <c r="Y2289" s="1">
        <v>0</v>
      </c>
      <c r="Z2289" s="1">
        <v>0</v>
      </c>
      <c r="AA2289" s="1">
        <v>0</v>
      </c>
      <c r="AB2289" s="1">
        <v>0</v>
      </c>
      <c r="AC2289" s="1">
        <v>0</v>
      </c>
      <c r="AD2289" s="1">
        <v>0</v>
      </c>
    </row>
    <row r="2290" spans="1:30" s="20" customFormat="1" ht="36" customHeight="1" x14ac:dyDescent="0.25">
      <c r="A2290" s="2">
        <f t="shared" si="1281"/>
        <v>2209</v>
      </c>
      <c r="B2290" s="6">
        <f>A2290</f>
        <v>2209</v>
      </c>
      <c r="C2290" s="29" t="s">
        <v>2126</v>
      </c>
      <c r="D2290" s="4">
        <f t="shared" si="1280"/>
        <v>1380959.2999999998</v>
      </c>
      <c r="E2290" s="1">
        <f>SUM(F2290:K2290)</f>
        <v>1330959.2999999998</v>
      </c>
      <c r="F2290" s="1">
        <f>804*801.3</f>
        <v>644245.19999999995</v>
      </c>
      <c r="G2290" s="1">
        <v>0</v>
      </c>
      <c r="H2290" s="1">
        <f>390*801.3</f>
        <v>312507</v>
      </c>
      <c r="I2290" s="1">
        <v>0</v>
      </c>
      <c r="J2290" s="1">
        <f>467*801.3</f>
        <v>374207.1</v>
      </c>
      <c r="K2290" s="1">
        <v>0</v>
      </c>
      <c r="L2290" s="2">
        <v>0</v>
      </c>
      <c r="M2290" s="1">
        <f>L2290*3500000</f>
        <v>0</v>
      </c>
      <c r="N2290" s="1">
        <v>0</v>
      </c>
      <c r="O2290" s="1">
        <v>0</v>
      </c>
      <c r="P2290" s="1">
        <v>0</v>
      </c>
      <c r="Q2290" s="1">
        <v>0</v>
      </c>
      <c r="R2290" s="1">
        <v>0</v>
      </c>
      <c r="S2290" s="1">
        <v>0</v>
      </c>
      <c r="T2290" s="1">
        <v>0</v>
      </c>
      <c r="U2290" s="1">
        <v>50000</v>
      </c>
      <c r="V2290" s="1">
        <v>0</v>
      </c>
      <c r="W2290" s="1">
        <v>0</v>
      </c>
      <c r="X2290" s="1">
        <v>0</v>
      </c>
      <c r="Y2290" s="1">
        <v>0</v>
      </c>
      <c r="Z2290" s="1">
        <v>0</v>
      </c>
      <c r="AA2290" s="1">
        <v>0</v>
      </c>
      <c r="AB2290" s="1">
        <v>0</v>
      </c>
      <c r="AC2290" s="1">
        <v>0</v>
      </c>
      <c r="AD2290" s="1">
        <v>0</v>
      </c>
    </row>
    <row r="2291" spans="1:30" s="20" customFormat="1" ht="36" customHeight="1" x14ac:dyDescent="0.25">
      <c r="A2291" s="2">
        <f t="shared" si="1281"/>
        <v>2210</v>
      </c>
      <c r="B2291" s="3">
        <f t="shared" si="1266"/>
        <v>2210</v>
      </c>
      <c r="C2291" s="19" t="s">
        <v>1380</v>
      </c>
      <c r="D2291" s="4">
        <f t="shared" si="1280"/>
        <v>5060071</v>
      </c>
      <c r="E2291" s="1">
        <f t="shared" si="1284"/>
        <v>1122836</v>
      </c>
      <c r="F2291" s="1">
        <f>804*676</f>
        <v>543504</v>
      </c>
      <c r="G2291" s="1">
        <v>0</v>
      </c>
      <c r="H2291" s="1">
        <f>390*676</f>
        <v>263640</v>
      </c>
      <c r="I2291" s="1">
        <v>0</v>
      </c>
      <c r="J2291" s="1">
        <f>467*676</f>
        <v>315692</v>
      </c>
      <c r="K2291" s="1">
        <v>0</v>
      </c>
      <c r="L2291" s="2">
        <v>0</v>
      </c>
      <c r="M2291" s="1">
        <v>0</v>
      </c>
      <c r="N2291" s="1">
        <v>353</v>
      </c>
      <c r="O2291" s="1">
        <f>N2291*7750</f>
        <v>2735750</v>
      </c>
      <c r="P2291" s="1">
        <v>50</v>
      </c>
      <c r="Q2291" s="1">
        <f t="shared" si="1282"/>
        <v>70000</v>
      </c>
      <c r="R2291" s="1">
        <v>235</v>
      </c>
      <c r="S2291" s="1">
        <f t="shared" si="1283"/>
        <v>881485</v>
      </c>
      <c r="T2291" s="1">
        <v>150000</v>
      </c>
      <c r="U2291" s="1">
        <v>50000</v>
      </c>
      <c r="V2291" s="1">
        <v>0</v>
      </c>
      <c r="W2291" s="1">
        <v>50000</v>
      </c>
      <c r="X2291" s="1">
        <v>0</v>
      </c>
      <c r="Y2291" s="1">
        <v>0</v>
      </c>
      <c r="Z2291" s="1">
        <v>0</v>
      </c>
      <c r="AA2291" s="1">
        <v>0</v>
      </c>
      <c r="AB2291" s="1">
        <v>0</v>
      </c>
      <c r="AC2291" s="1">
        <v>0</v>
      </c>
      <c r="AD2291" s="1">
        <v>0</v>
      </c>
    </row>
    <row r="2292" spans="1:30" s="20" customFormat="1" ht="36" customHeight="1" x14ac:dyDescent="0.25">
      <c r="A2292" s="2">
        <f t="shared" si="1281"/>
        <v>2211</v>
      </c>
      <c r="B2292" s="3">
        <f t="shared" si="1266"/>
        <v>2211</v>
      </c>
      <c r="C2292" s="19" t="s">
        <v>1381</v>
      </c>
      <c r="D2292" s="4">
        <f t="shared" si="1280"/>
        <v>4840071</v>
      </c>
      <c r="E2292" s="1">
        <f t="shared" si="1284"/>
        <v>1122836</v>
      </c>
      <c r="F2292" s="1">
        <f>804*676</f>
        <v>543504</v>
      </c>
      <c r="G2292" s="1">
        <v>0</v>
      </c>
      <c r="H2292" s="1">
        <f>390*676</f>
        <v>263640</v>
      </c>
      <c r="I2292" s="1">
        <v>0</v>
      </c>
      <c r="J2292" s="1">
        <f>467*676</f>
        <v>315692</v>
      </c>
      <c r="K2292" s="1">
        <v>0</v>
      </c>
      <c r="L2292" s="2">
        <v>0</v>
      </c>
      <c r="M2292" s="1">
        <v>0</v>
      </c>
      <c r="N2292" s="1">
        <v>353</v>
      </c>
      <c r="O2292" s="1">
        <f>N2292*7750</f>
        <v>2735750</v>
      </c>
      <c r="P2292" s="1">
        <v>0</v>
      </c>
      <c r="Q2292" s="1">
        <f t="shared" si="1282"/>
        <v>0</v>
      </c>
      <c r="R2292" s="1">
        <v>235</v>
      </c>
      <c r="S2292" s="1">
        <f t="shared" si="1283"/>
        <v>881485</v>
      </c>
      <c r="T2292" s="1">
        <v>0</v>
      </c>
      <c r="U2292" s="1">
        <v>50000</v>
      </c>
      <c r="V2292" s="1">
        <v>0</v>
      </c>
      <c r="W2292" s="1">
        <v>50000</v>
      </c>
      <c r="X2292" s="1">
        <v>0</v>
      </c>
      <c r="Y2292" s="1">
        <v>0</v>
      </c>
      <c r="Z2292" s="1">
        <v>0</v>
      </c>
      <c r="AA2292" s="1">
        <v>0</v>
      </c>
      <c r="AB2292" s="1">
        <v>0</v>
      </c>
      <c r="AC2292" s="1">
        <v>0</v>
      </c>
      <c r="AD2292" s="1">
        <v>0</v>
      </c>
    </row>
    <row r="2293" spans="1:30" s="20" customFormat="1" ht="36" customHeight="1" x14ac:dyDescent="0.25">
      <c r="A2293" s="2">
        <f t="shared" si="1281"/>
        <v>2212</v>
      </c>
      <c r="B2293" s="3">
        <f t="shared" si="1266"/>
        <v>2212</v>
      </c>
      <c r="C2293" s="19" t="s">
        <v>1382</v>
      </c>
      <c r="D2293" s="4">
        <f t="shared" si="1280"/>
        <v>1372836</v>
      </c>
      <c r="E2293" s="1">
        <f t="shared" si="1284"/>
        <v>1122836</v>
      </c>
      <c r="F2293" s="1">
        <f>804*676</f>
        <v>543504</v>
      </c>
      <c r="G2293" s="1">
        <v>0</v>
      </c>
      <c r="H2293" s="1">
        <f>390*676</f>
        <v>263640</v>
      </c>
      <c r="I2293" s="1">
        <v>0</v>
      </c>
      <c r="J2293" s="1">
        <f>467*676</f>
        <v>315692</v>
      </c>
      <c r="K2293" s="1">
        <v>0</v>
      </c>
      <c r="L2293" s="2">
        <v>0</v>
      </c>
      <c r="M2293" s="1">
        <v>0</v>
      </c>
      <c r="N2293" s="1">
        <v>0</v>
      </c>
      <c r="O2293" s="1">
        <v>0</v>
      </c>
      <c r="P2293" s="1">
        <v>0</v>
      </c>
      <c r="Q2293" s="1">
        <f t="shared" si="1282"/>
        <v>0</v>
      </c>
      <c r="R2293" s="1">
        <v>0</v>
      </c>
      <c r="S2293" s="1">
        <f t="shared" si="1283"/>
        <v>0</v>
      </c>
      <c r="T2293" s="1">
        <v>150000</v>
      </c>
      <c r="U2293" s="1">
        <v>50000</v>
      </c>
      <c r="V2293" s="1">
        <v>0</v>
      </c>
      <c r="W2293" s="1">
        <v>50000</v>
      </c>
      <c r="X2293" s="1">
        <v>0</v>
      </c>
      <c r="Y2293" s="1">
        <v>0</v>
      </c>
      <c r="Z2293" s="1">
        <v>0</v>
      </c>
      <c r="AA2293" s="1">
        <v>0</v>
      </c>
      <c r="AB2293" s="1">
        <v>0</v>
      </c>
      <c r="AC2293" s="1">
        <v>0</v>
      </c>
      <c r="AD2293" s="1">
        <v>0</v>
      </c>
    </row>
    <row r="2294" spans="1:30" s="20" customFormat="1" ht="36" customHeight="1" x14ac:dyDescent="0.25">
      <c r="A2294" s="2">
        <f t="shared" si="1281"/>
        <v>2213</v>
      </c>
      <c r="B2294" s="3">
        <f t="shared" si="1266"/>
        <v>2213</v>
      </c>
      <c r="C2294" s="19" t="s">
        <v>1383</v>
      </c>
      <c r="D2294" s="4">
        <f t="shared" si="1280"/>
        <v>2324321</v>
      </c>
      <c r="E2294" s="1">
        <f t="shared" si="1284"/>
        <v>1122836</v>
      </c>
      <c r="F2294" s="1">
        <f>804*676</f>
        <v>543504</v>
      </c>
      <c r="G2294" s="1">
        <v>0</v>
      </c>
      <c r="H2294" s="1">
        <f>390*676</f>
        <v>263640</v>
      </c>
      <c r="I2294" s="1">
        <v>0</v>
      </c>
      <c r="J2294" s="1">
        <f>467*676</f>
        <v>315692</v>
      </c>
      <c r="K2294" s="1">
        <v>0</v>
      </c>
      <c r="L2294" s="2">
        <v>0</v>
      </c>
      <c r="M2294" s="1">
        <v>0</v>
      </c>
      <c r="N2294" s="1">
        <v>0</v>
      </c>
      <c r="O2294" s="1">
        <v>0</v>
      </c>
      <c r="P2294" s="1">
        <v>50</v>
      </c>
      <c r="Q2294" s="1">
        <f t="shared" si="1282"/>
        <v>70000</v>
      </c>
      <c r="R2294" s="1">
        <v>235</v>
      </c>
      <c r="S2294" s="1">
        <f t="shared" si="1283"/>
        <v>881485</v>
      </c>
      <c r="T2294" s="1">
        <v>150000</v>
      </c>
      <c r="U2294" s="1">
        <v>50000</v>
      </c>
      <c r="V2294" s="1">
        <v>0</v>
      </c>
      <c r="W2294" s="1">
        <v>50000</v>
      </c>
      <c r="X2294" s="1">
        <v>0</v>
      </c>
      <c r="Y2294" s="1">
        <v>0</v>
      </c>
      <c r="Z2294" s="1">
        <v>0</v>
      </c>
      <c r="AA2294" s="1">
        <v>0</v>
      </c>
      <c r="AB2294" s="1">
        <v>0</v>
      </c>
      <c r="AC2294" s="1">
        <v>0</v>
      </c>
      <c r="AD2294" s="1">
        <v>0</v>
      </c>
    </row>
    <row r="2295" spans="1:30" s="20" customFormat="1" ht="36" customHeight="1" x14ac:dyDescent="0.25">
      <c r="A2295" s="2">
        <f t="shared" si="1281"/>
        <v>2214</v>
      </c>
      <c r="B2295" s="3">
        <f t="shared" si="1266"/>
        <v>2214</v>
      </c>
      <c r="C2295" s="19" t="s">
        <v>1384</v>
      </c>
      <c r="D2295" s="4">
        <f t="shared" si="1280"/>
        <v>7737688.5999999996</v>
      </c>
      <c r="E2295" s="1">
        <f t="shared" si="1284"/>
        <v>2028834.5999999999</v>
      </c>
      <c r="F2295" s="1">
        <f>804*604.9</f>
        <v>486339.6</v>
      </c>
      <c r="G2295" s="1">
        <f>1693*604.9</f>
        <v>1024095.7</v>
      </c>
      <c r="H2295" s="1">
        <f>390*604.9</f>
        <v>235911</v>
      </c>
      <c r="I2295" s="1">
        <v>0</v>
      </c>
      <c r="J2295" s="1">
        <f>467*604.9</f>
        <v>282488.3</v>
      </c>
      <c r="K2295" s="1">
        <v>0</v>
      </c>
      <c r="L2295" s="2">
        <v>0</v>
      </c>
      <c r="M2295" s="1">
        <v>0</v>
      </c>
      <c r="N2295" s="1">
        <v>403</v>
      </c>
      <c r="O2295" s="1">
        <f>N2295*7750</f>
        <v>3123250</v>
      </c>
      <c r="P2295" s="1">
        <v>50</v>
      </c>
      <c r="Q2295" s="1">
        <f t="shared" si="1282"/>
        <v>70000</v>
      </c>
      <c r="R2295" s="1">
        <v>604</v>
      </c>
      <c r="S2295" s="1">
        <f t="shared" si="1283"/>
        <v>2265604</v>
      </c>
      <c r="T2295" s="1">
        <v>150000</v>
      </c>
      <c r="U2295" s="1">
        <v>50000</v>
      </c>
      <c r="V2295" s="1">
        <v>0</v>
      </c>
      <c r="W2295" s="1">
        <v>50000</v>
      </c>
      <c r="X2295" s="1">
        <v>0</v>
      </c>
      <c r="Y2295" s="1">
        <v>0</v>
      </c>
      <c r="Z2295" s="1">
        <v>0</v>
      </c>
      <c r="AA2295" s="1">
        <v>0</v>
      </c>
      <c r="AB2295" s="1">
        <v>0</v>
      </c>
      <c r="AC2295" s="1">
        <v>0</v>
      </c>
      <c r="AD2295" s="1">
        <v>0</v>
      </c>
    </row>
    <row r="2296" spans="1:30" s="20" customFormat="1" ht="36" customHeight="1" x14ac:dyDescent="0.25">
      <c r="A2296" s="2">
        <f t="shared" si="1281"/>
        <v>2215</v>
      </c>
      <c r="B2296" s="3">
        <f t="shared" ref="B2296" si="1285">A2296</f>
        <v>2215</v>
      </c>
      <c r="C2296" s="19" t="s">
        <v>1795</v>
      </c>
      <c r="D2296" s="4">
        <f t="shared" si="1280"/>
        <v>2916018</v>
      </c>
      <c r="E2296" s="1">
        <f t="shared" ref="E2296" si="1286">SUM(F2296:K2296)</f>
        <v>1465698</v>
      </c>
      <c r="F2296" s="1">
        <f>804*437</f>
        <v>351348</v>
      </c>
      <c r="G2296" s="1">
        <f>1693*437</f>
        <v>739841</v>
      </c>
      <c r="H2296" s="1">
        <f>390*437</f>
        <v>170430</v>
      </c>
      <c r="I2296" s="1">
        <v>0</v>
      </c>
      <c r="J2296" s="1">
        <f>467*437</f>
        <v>204079</v>
      </c>
      <c r="K2296" s="1">
        <v>0</v>
      </c>
      <c r="L2296" s="2">
        <v>0</v>
      </c>
      <c r="M2296" s="1">
        <v>0</v>
      </c>
      <c r="N2296" s="1">
        <v>0</v>
      </c>
      <c r="O2296" s="1">
        <v>0</v>
      </c>
      <c r="P2296" s="1">
        <v>0</v>
      </c>
      <c r="Q2296" s="1">
        <f t="shared" ref="Q2296" si="1287">P2296*1400</f>
        <v>0</v>
      </c>
      <c r="R2296" s="1">
        <v>320</v>
      </c>
      <c r="S2296" s="1">
        <f t="shared" ref="S2296" si="1288">R2296*3751</f>
        <v>1200320</v>
      </c>
      <c r="T2296" s="1">
        <v>150000</v>
      </c>
      <c r="U2296" s="1">
        <v>50000</v>
      </c>
      <c r="V2296" s="1">
        <v>0</v>
      </c>
      <c r="W2296" s="1">
        <v>50000</v>
      </c>
      <c r="X2296" s="1">
        <v>0</v>
      </c>
      <c r="Y2296" s="1">
        <v>0</v>
      </c>
      <c r="Z2296" s="1">
        <v>0</v>
      </c>
      <c r="AA2296" s="1">
        <v>0</v>
      </c>
      <c r="AB2296" s="1">
        <v>0</v>
      </c>
      <c r="AC2296" s="1">
        <v>0</v>
      </c>
      <c r="AD2296" s="1">
        <v>0</v>
      </c>
    </row>
    <row r="2297" spans="1:30" s="20" customFormat="1" ht="36" customHeight="1" x14ac:dyDescent="0.25">
      <c r="A2297" s="2">
        <f t="shared" si="1281"/>
        <v>2216</v>
      </c>
      <c r="B2297" s="3">
        <f t="shared" si="1266"/>
        <v>2216</v>
      </c>
      <c r="C2297" s="19" t="s">
        <v>1385</v>
      </c>
      <c r="D2297" s="4">
        <f t="shared" si="1280"/>
        <v>2000788</v>
      </c>
      <c r="E2297" s="1">
        <f t="shared" si="1284"/>
        <v>1750788</v>
      </c>
      <c r="F2297" s="1">
        <f>804*522</f>
        <v>419688</v>
      </c>
      <c r="G2297" s="1">
        <f>1693*522</f>
        <v>883746</v>
      </c>
      <c r="H2297" s="1">
        <f>390*522</f>
        <v>203580</v>
      </c>
      <c r="I2297" s="1">
        <v>0</v>
      </c>
      <c r="J2297" s="1">
        <f>467*522</f>
        <v>243774</v>
      </c>
      <c r="K2297" s="1">
        <v>0</v>
      </c>
      <c r="L2297" s="2">
        <v>0</v>
      </c>
      <c r="M2297" s="1">
        <v>0</v>
      </c>
      <c r="N2297" s="1">
        <v>0</v>
      </c>
      <c r="O2297" s="1">
        <v>0</v>
      </c>
      <c r="P2297" s="1">
        <v>0</v>
      </c>
      <c r="Q2297" s="1">
        <f t="shared" si="1282"/>
        <v>0</v>
      </c>
      <c r="R2297" s="1">
        <v>0</v>
      </c>
      <c r="S2297" s="1">
        <f t="shared" si="1283"/>
        <v>0</v>
      </c>
      <c r="T2297" s="1">
        <v>150000</v>
      </c>
      <c r="U2297" s="1">
        <v>50000</v>
      </c>
      <c r="V2297" s="1">
        <v>0</v>
      </c>
      <c r="W2297" s="1">
        <v>50000</v>
      </c>
      <c r="X2297" s="1">
        <v>0</v>
      </c>
      <c r="Y2297" s="1">
        <v>0</v>
      </c>
      <c r="Z2297" s="1">
        <v>0</v>
      </c>
      <c r="AA2297" s="1">
        <v>0</v>
      </c>
      <c r="AB2297" s="1">
        <v>0</v>
      </c>
      <c r="AC2297" s="1">
        <v>0</v>
      </c>
      <c r="AD2297" s="1">
        <v>0</v>
      </c>
    </row>
    <row r="2298" spans="1:30" s="20" customFormat="1" ht="36" customHeight="1" x14ac:dyDescent="0.25">
      <c r="A2298" s="2">
        <f t="shared" si="1281"/>
        <v>2217</v>
      </c>
      <c r="B2298" s="3">
        <f t="shared" si="1266"/>
        <v>2217</v>
      </c>
      <c r="C2298" s="19" t="s">
        <v>1386</v>
      </c>
      <c r="D2298" s="4">
        <f t="shared" si="1280"/>
        <v>7527567.2000000002</v>
      </c>
      <c r="E2298" s="1">
        <f t="shared" si="1284"/>
        <v>306967.2</v>
      </c>
      <c r="F2298" s="1">
        <f>804*381.8</f>
        <v>306967.2</v>
      </c>
      <c r="G2298" s="1">
        <v>0</v>
      </c>
      <c r="H2298" s="1">
        <v>0</v>
      </c>
      <c r="I2298" s="1">
        <v>0</v>
      </c>
      <c r="J2298" s="1">
        <v>0</v>
      </c>
      <c r="K2298" s="1">
        <v>0</v>
      </c>
      <c r="L2298" s="2">
        <v>0</v>
      </c>
      <c r="M2298" s="1">
        <v>0</v>
      </c>
      <c r="N2298" s="1">
        <v>600</v>
      </c>
      <c r="O2298" s="1">
        <f>N2298*7750</f>
        <v>4650000</v>
      </c>
      <c r="P2298" s="1">
        <v>50</v>
      </c>
      <c r="Q2298" s="1">
        <f t="shared" si="1282"/>
        <v>70000</v>
      </c>
      <c r="R2298" s="1">
        <v>600</v>
      </c>
      <c r="S2298" s="1">
        <f t="shared" si="1283"/>
        <v>2250600</v>
      </c>
      <c r="T2298" s="1">
        <v>150000</v>
      </c>
      <c r="U2298" s="1">
        <v>50000</v>
      </c>
      <c r="V2298" s="1">
        <v>0</v>
      </c>
      <c r="W2298" s="1">
        <v>50000</v>
      </c>
      <c r="X2298" s="1">
        <v>0</v>
      </c>
      <c r="Y2298" s="1">
        <v>0</v>
      </c>
      <c r="Z2298" s="1">
        <v>0</v>
      </c>
      <c r="AA2298" s="1">
        <v>0</v>
      </c>
      <c r="AB2298" s="1">
        <v>0</v>
      </c>
      <c r="AC2298" s="1">
        <v>0</v>
      </c>
      <c r="AD2298" s="1">
        <v>0</v>
      </c>
    </row>
    <row r="2299" spans="1:30" s="20" customFormat="1" ht="36" customHeight="1" x14ac:dyDescent="0.25">
      <c r="A2299" s="2">
        <f t="shared" si="1281"/>
        <v>2218</v>
      </c>
      <c r="B2299" s="3">
        <f t="shared" si="1266"/>
        <v>2218</v>
      </c>
      <c r="C2299" s="19" t="s">
        <v>1387</v>
      </c>
      <c r="D2299" s="4">
        <f t="shared" si="1280"/>
        <v>4251322.4399999995</v>
      </c>
      <c r="E2299" s="1">
        <f t="shared" si="1284"/>
        <v>1889509.44</v>
      </c>
      <c r="F2299" s="1">
        <f>804*563.36</f>
        <v>452941.44</v>
      </c>
      <c r="G2299" s="1">
        <f>1693*563.36</f>
        <v>953768.48</v>
      </c>
      <c r="H2299" s="1">
        <f>390*563.36</f>
        <v>219710.4</v>
      </c>
      <c r="I2299" s="1">
        <v>0</v>
      </c>
      <c r="J2299" s="1">
        <f>467*563.36</f>
        <v>263089.12</v>
      </c>
      <c r="K2299" s="1">
        <v>0</v>
      </c>
      <c r="L2299" s="2">
        <v>0</v>
      </c>
      <c r="M2299" s="1">
        <v>0</v>
      </c>
      <c r="N2299" s="1">
        <v>0</v>
      </c>
      <c r="O2299" s="1">
        <v>0</v>
      </c>
      <c r="P2299" s="1">
        <v>0</v>
      </c>
      <c r="Q2299" s="1">
        <f t="shared" si="1282"/>
        <v>0</v>
      </c>
      <c r="R2299" s="1">
        <v>563</v>
      </c>
      <c r="S2299" s="1">
        <f t="shared" si="1283"/>
        <v>2111813</v>
      </c>
      <c r="T2299" s="1">
        <v>150000</v>
      </c>
      <c r="U2299" s="1">
        <v>50000</v>
      </c>
      <c r="V2299" s="1">
        <v>0</v>
      </c>
      <c r="W2299" s="1">
        <v>50000</v>
      </c>
      <c r="X2299" s="1">
        <v>0</v>
      </c>
      <c r="Y2299" s="1">
        <v>0</v>
      </c>
      <c r="Z2299" s="1">
        <v>0</v>
      </c>
      <c r="AA2299" s="1">
        <v>0</v>
      </c>
      <c r="AB2299" s="1">
        <v>0</v>
      </c>
      <c r="AC2299" s="1">
        <v>0</v>
      </c>
      <c r="AD2299" s="1">
        <v>0</v>
      </c>
    </row>
    <row r="2300" spans="1:30" s="20" customFormat="1" ht="36" customHeight="1" x14ac:dyDescent="0.25">
      <c r="A2300" s="2">
        <f t="shared" si="1281"/>
        <v>2219</v>
      </c>
      <c r="B2300" s="2">
        <f t="shared" si="1266"/>
        <v>2219</v>
      </c>
      <c r="C2300" s="19" t="s">
        <v>1388</v>
      </c>
      <c r="D2300" s="39">
        <f t="shared" si="1280"/>
        <v>6656790.4000000004</v>
      </c>
      <c r="E2300" s="1">
        <f t="shared" si="1284"/>
        <v>2063045.4000000001</v>
      </c>
      <c r="F2300" s="1">
        <f>804*615.1</f>
        <v>494540.4</v>
      </c>
      <c r="G2300" s="1">
        <f>1693*615.1</f>
        <v>1041364.3</v>
      </c>
      <c r="H2300" s="1">
        <f>390*615.1</f>
        <v>239889</v>
      </c>
      <c r="I2300" s="1">
        <v>0</v>
      </c>
      <c r="J2300" s="1">
        <f>467*615.1</f>
        <v>287251.7</v>
      </c>
      <c r="K2300" s="1">
        <v>0</v>
      </c>
      <c r="L2300" s="2">
        <v>0</v>
      </c>
      <c r="M2300" s="1">
        <v>0</v>
      </c>
      <c r="N2300" s="1">
        <v>410</v>
      </c>
      <c r="O2300" s="1">
        <f>N2300*4968</f>
        <v>2036880</v>
      </c>
      <c r="P2300" s="1">
        <v>0</v>
      </c>
      <c r="Q2300" s="1">
        <f t="shared" si="1282"/>
        <v>0</v>
      </c>
      <c r="R2300" s="1">
        <v>615</v>
      </c>
      <c r="S2300" s="1">
        <f t="shared" si="1283"/>
        <v>2306865</v>
      </c>
      <c r="T2300" s="1">
        <v>150000</v>
      </c>
      <c r="U2300" s="1">
        <v>50000</v>
      </c>
      <c r="V2300" s="1">
        <v>0</v>
      </c>
      <c r="W2300" s="1">
        <v>50000</v>
      </c>
      <c r="X2300" s="1">
        <v>0</v>
      </c>
      <c r="Y2300" s="1">
        <v>0</v>
      </c>
      <c r="Z2300" s="1">
        <v>0</v>
      </c>
      <c r="AA2300" s="1">
        <v>0</v>
      </c>
      <c r="AB2300" s="1">
        <v>0</v>
      </c>
      <c r="AC2300" s="1">
        <v>0</v>
      </c>
      <c r="AD2300" s="1">
        <v>0</v>
      </c>
    </row>
    <row r="2301" spans="1:30" s="20" customFormat="1" ht="36" customHeight="1" x14ac:dyDescent="0.25">
      <c r="A2301" s="2">
        <f t="shared" si="1281"/>
        <v>2220</v>
      </c>
      <c r="B2301" s="2">
        <f t="shared" si="1266"/>
        <v>2220</v>
      </c>
      <c r="C2301" s="19" t="s">
        <v>1389</v>
      </c>
      <c r="D2301" s="39">
        <f t="shared" si="1280"/>
        <v>12890185</v>
      </c>
      <c r="E2301" s="1">
        <f t="shared" si="1284"/>
        <v>5542485</v>
      </c>
      <c r="F2301" s="1">
        <f>804*1652.5</f>
        <v>1328610</v>
      </c>
      <c r="G2301" s="1">
        <f>1693*1652.5</f>
        <v>2797682.5</v>
      </c>
      <c r="H2301" s="1">
        <f>390*1652.5</f>
        <v>644475</v>
      </c>
      <c r="I2301" s="1">
        <v>0</v>
      </c>
      <c r="J2301" s="1">
        <f>467*1652.5</f>
        <v>771717.5</v>
      </c>
      <c r="K2301" s="1">
        <v>0</v>
      </c>
      <c r="L2301" s="2">
        <v>0</v>
      </c>
      <c r="M2301" s="1">
        <v>0</v>
      </c>
      <c r="N2301" s="1">
        <v>568</v>
      </c>
      <c r="O2301" s="1">
        <f>N2301*7750</f>
        <v>4402000</v>
      </c>
      <c r="P2301" s="1">
        <v>50</v>
      </c>
      <c r="Q2301" s="1">
        <f t="shared" si="1282"/>
        <v>70000</v>
      </c>
      <c r="R2301" s="1">
        <v>700</v>
      </c>
      <c r="S2301" s="1">
        <f t="shared" si="1283"/>
        <v>2625700</v>
      </c>
      <c r="T2301" s="1">
        <v>150000</v>
      </c>
      <c r="U2301" s="1">
        <v>50000</v>
      </c>
      <c r="V2301" s="1">
        <v>0</v>
      </c>
      <c r="W2301" s="1">
        <v>50000</v>
      </c>
      <c r="X2301" s="1">
        <v>0</v>
      </c>
      <c r="Y2301" s="1">
        <v>0</v>
      </c>
      <c r="Z2301" s="1">
        <v>0</v>
      </c>
      <c r="AA2301" s="1">
        <v>0</v>
      </c>
      <c r="AB2301" s="1">
        <v>0</v>
      </c>
      <c r="AC2301" s="1">
        <v>0</v>
      </c>
      <c r="AD2301" s="1">
        <v>0</v>
      </c>
    </row>
    <row r="2302" spans="1:30" s="20" customFormat="1" ht="36" customHeight="1" x14ac:dyDescent="0.25">
      <c r="A2302" s="2">
        <f t="shared" si="1281"/>
        <v>2221</v>
      </c>
      <c r="B2302" s="6">
        <f>A2302</f>
        <v>2221</v>
      </c>
      <c r="C2302" s="29" t="s">
        <v>2127</v>
      </c>
      <c r="D2302" s="4">
        <f t="shared" si="1280"/>
        <v>10756279.26</v>
      </c>
      <c r="E2302" s="1">
        <f>SUM(F2302:K2302)</f>
        <v>2605018.2600000002</v>
      </c>
      <c r="F2302" s="1">
        <f>804*776.69</f>
        <v>624458.76</v>
      </c>
      <c r="G2302" s="1">
        <f>1693*776.69</f>
        <v>1314936.1700000002</v>
      </c>
      <c r="H2302" s="1">
        <f>390*776.69</f>
        <v>302909.10000000003</v>
      </c>
      <c r="I2302" s="1">
        <v>0</v>
      </c>
      <c r="J2302" s="1">
        <f>467*776.69</f>
        <v>362714.23000000004</v>
      </c>
      <c r="K2302" s="1">
        <v>0</v>
      </c>
      <c r="L2302" s="2">
        <v>0</v>
      </c>
      <c r="M2302" s="1">
        <f>L2302*3500000</f>
        <v>0</v>
      </c>
      <c r="N2302" s="1">
        <v>677</v>
      </c>
      <c r="O2302" s="1">
        <f>N2302*7750</f>
        <v>5246750</v>
      </c>
      <c r="P2302" s="1">
        <v>0</v>
      </c>
      <c r="Q2302" s="1">
        <v>0</v>
      </c>
      <c r="R2302" s="1">
        <v>761</v>
      </c>
      <c r="S2302" s="1">
        <f>R2302*3751</f>
        <v>2854511</v>
      </c>
      <c r="T2302" s="1">
        <v>0</v>
      </c>
      <c r="U2302" s="1">
        <v>50000</v>
      </c>
      <c r="V2302" s="1">
        <v>0</v>
      </c>
      <c r="W2302" s="1">
        <v>0</v>
      </c>
      <c r="X2302" s="1">
        <v>0</v>
      </c>
      <c r="Y2302" s="1">
        <v>0</v>
      </c>
      <c r="Z2302" s="1">
        <v>0</v>
      </c>
      <c r="AA2302" s="1">
        <v>0</v>
      </c>
      <c r="AB2302" s="1">
        <v>0</v>
      </c>
      <c r="AC2302" s="1">
        <v>0</v>
      </c>
      <c r="AD2302" s="1">
        <v>0</v>
      </c>
    </row>
    <row r="2303" spans="1:30" s="20" customFormat="1" ht="36" customHeight="1" x14ac:dyDescent="0.25">
      <c r="A2303" s="2">
        <f t="shared" si="1281"/>
        <v>2222</v>
      </c>
      <c r="B2303" s="3">
        <f t="shared" si="1266"/>
        <v>2222</v>
      </c>
      <c r="C2303" s="19" t="s">
        <v>1390</v>
      </c>
      <c r="D2303" s="4">
        <f t="shared" si="1280"/>
        <v>1305839.2000000002</v>
      </c>
      <c r="E2303" s="1">
        <f t="shared" si="1284"/>
        <v>1055839.2000000002</v>
      </c>
      <c r="F2303" s="1">
        <f>804*314.8</f>
        <v>253099.2</v>
      </c>
      <c r="G2303" s="1">
        <f>1693*314.8</f>
        <v>532956.4</v>
      </c>
      <c r="H2303" s="1">
        <f>390*314.8</f>
        <v>122772</v>
      </c>
      <c r="I2303" s="1">
        <v>0</v>
      </c>
      <c r="J2303" s="1">
        <f>467*314.8</f>
        <v>147011.6</v>
      </c>
      <c r="K2303" s="1">
        <v>0</v>
      </c>
      <c r="L2303" s="2">
        <v>0</v>
      </c>
      <c r="M2303" s="1">
        <v>0</v>
      </c>
      <c r="N2303" s="1">
        <v>0</v>
      </c>
      <c r="O2303" s="1">
        <v>0</v>
      </c>
      <c r="P2303" s="1">
        <v>0</v>
      </c>
      <c r="Q2303" s="1">
        <f t="shared" si="1282"/>
        <v>0</v>
      </c>
      <c r="R2303" s="1">
        <v>0</v>
      </c>
      <c r="S2303" s="1">
        <f t="shared" si="1283"/>
        <v>0</v>
      </c>
      <c r="T2303" s="1">
        <v>150000</v>
      </c>
      <c r="U2303" s="1">
        <v>50000</v>
      </c>
      <c r="V2303" s="1">
        <v>0</v>
      </c>
      <c r="W2303" s="1">
        <v>50000</v>
      </c>
      <c r="X2303" s="1">
        <v>0</v>
      </c>
      <c r="Y2303" s="1">
        <v>0</v>
      </c>
      <c r="Z2303" s="1">
        <v>0</v>
      </c>
      <c r="AA2303" s="1">
        <v>0</v>
      </c>
      <c r="AB2303" s="1">
        <v>0</v>
      </c>
      <c r="AC2303" s="1">
        <v>0</v>
      </c>
      <c r="AD2303" s="1">
        <v>0</v>
      </c>
    </row>
    <row r="2304" spans="1:30" s="20" customFormat="1" ht="36" customHeight="1" x14ac:dyDescent="0.25">
      <c r="A2304" s="2">
        <f t="shared" si="1281"/>
        <v>2223</v>
      </c>
      <c r="B2304" s="3">
        <f t="shared" si="1266"/>
        <v>2223</v>
      </c>
      <c r="C2304" s="19" t="s">
        <v>1391</v>
      </c>
      <c r="D2304" s="4">
        <f t="shared" si="1280"/>
        <v>8572200.8200000003</v>
      </c>
      <c r="E2304" s="1">
        <f t="shared" si="1284"/>
        <v>2597102.8200000003</v>
      </c>
      <c r="F2304" s="1">
        <f>804*774.33</f>
        <v>622561.32000000007</v>
      </c>
      <c r="G2304" s="1">
        <f>1693*774.33</f>
        <v>1310940.6900000002</v>
      </c>
      <c r="H2304" s="1">
        <f>390*774.33</f>
        <v>301988.7</v>
      </c>
      <c r="I2304" s="1">
        <v>0</v>
      </c>
      <c r="J2304" s="1">
        <f>467*774.33</f>
        <v>361612.11000000004</v>
      </c>
      <c r="K2304" s="1">
        <v>0</v>
      </c>
      <c r="L2304" s="2">
        <v>0</v>
      </c>
      <c r="M2304" s="1">
        <v>0</v>
      </c>
      <c r="N2304" s="1">
        <v>568</v>
      </c>
      <c r="O2304" s="1">
        <f>N2304*4968</f>
        <v>2821824</v>
      </c>
      <c r="P2304" s="1">
        <v>0</v>
      </c>
      <c r="Q2304" s="1">
        <f t="shared" si="1282"/>
        <v>0</v>
      </c>
      <c r="R2304" s="1">
        <v>774</v>
      </c>
      <c r="S2304" s="1">
        <f t="shared" si="1283"/>
        <v>2903274</v>
      </c>
      <c r="T2304" s="1">
        <v>150000</v>
      </c>
      <c r="U2304" s="1">
        <v>50000</v>
      </c>
      <c r="V2304" s="1">
        <v>0</v>
      </c>
      <c r="W2304" s="1">
        <v>50000</v>
      </c>
      <c r="X2304" s="1">
        <v>0</v>
      </c>
      <c r="Y2304" s="1">
        <v>0</v>
      </c>
      <c r="Z2304" s="1">
        <v>0</v>
      </c>
      <c r="AA2304" s="1">
        <v>0</v>
      </c>
      <c r="AB2304" s="1">
        <v>0</v>
      </c>
      <c r="AC2304" s="1">
        <v>0</v>
      </c>
      <c r="AD2304" s="1">
        <v>0</v>
      </c>
    </row>
    <row r="2305" spans="1:30" s="20" customFormat="1" ht="36" customHeight="1" x14ac:dyDescent="0.25">
      <c r="A2305" s="2">
        <f t="shared" si="1281"/>
        <v>2224</v>
      </c>
      <c r="B2305" s="3">
        <f t="shared" si="1266"/>
        <v>2224</v>
      </c>
      <c r="C2305" s="19" t="s">
        <v>1392</v>
      </c>
      <c r="D2305" s="4">
        <f t="shared" si="1280"/>
        <v>8576326.2400000002</v>
      </c>
      <c r="E2305" s="1">
        <f t="shared" si="1284"/>
        <v>2601228.2399999998</v>
      </c>
      <c r="F2305" s="1">
        <f>804*775.56</f>
        <v>623550.24</v>
      </c>
      <c r="G2305" s="1">
        <f>1693*775.56</f>
        <v>1313023.0799999998</v>
      </c>
      <c r="H2305" s="1">
        <f>390*775.56</f>
        <v>302468.39999999997</v>
      </c>
      <c r="I2305" s="1">
        <v>0</v>
      </c>
      <c r="J2305" s="1">
        <f>467*775.56</f>
        <v>362186.51999999996</v>
      </c>
      <c r="K2305" s="1">
        <v>0</v>
      </c>
      <c r="L2305" s="2">
        <v>0</v>
      </c>
      <c r="M2305" s="1">
        <v>0</v>
      </c>
      <c r="N2305" s="1">
        <v>568</v>
      </c>
      <c r="O2305" s="1">
        <f>N2305*4968</f>
        <v>2821824</v>
      </c>
      <c r="P2305" s="1">
        <v>0</v>
      </c>
      <c r="Q2305" s="1">
        <f t="shared" si="1282"/>
        <v>0</v>
      </c>
      <c r="R2305" s="1">
        <v>774</v>
      </c>
      <c r="S2305" s="1">
        <f t="shared" si="1283"/>
        <v>2903274</v>
      </c>
      <c r="T2305" s="1">
        <v>150000</v>
      </c>
      <c r="U2305" s="1">
        <v>50000</v>
      </c>
      <c r="V2305" s="1">
        <v>0</v>
      </c>
      <c r="W2305" s="1">
        <v>50000</v>
      </c>
      <c r="X2305" s="1">
        <v>0</v>
      </c>
      <c r="Y2305" s="1">
        <v>0</v>
      </c>
      <c r="Z2305" s="1">
        <v>0</v>
      </c>
      <c r="AA2305" s="1">
        <v>0</v>
      </c>
      <c r="AB2305" s="1">
        <v>0</v>
      </c>
      <c r="AC2305" s="1">
        <v>0</v>
      </c>
      <c r="AD2305" s="1">
        <v>0</v>
      </c>
    </row>
    <row r="2306" spans="1:30" s="20" customFormat="1" ht="36" customHeight="1" x14ac:dyDescent="0.25">
      <c r="A2306" s="2">
        <f t="shared" si="1281"/>
        <v>2225</v>
      </c>
      <c r="B2306" s="3">
        <f t="shared" si="1266"/>
        <v>2225</v>
      </c>
      <c r="C2306" s="19" t="s">
        <v>1393</v>
      </c>
      <c r="D2306" s="4">
        <f t="shared" si="1280"/>
        <v>5730269.2599999998</v>
      </c>
      <c r="E2306" s="1">
        <f t="shared" si="1284"/>
        <v>2588248.2600000002</v>
      </c>
      <c r="F2306" s="1">
        <f>804*771.69</f>
        <v>620438.76</v>
      </c>
      <c r="G2306" s="1">
        <f>1693*771.69</f>
        <v>1306471.1700000002</v>
      </c>
      <c r="H2306" s="1">
        <f>390*771.69</f>
        <v>300959.10000000003</v>
      </c>
      <c r="I2306" s="1">
        <v>0</v>
      </c>
      <c r="J2306" s="1">
        <f>467*771.69</f>
        <v>360379.23000000004</v>
      </c>
      <c r="K2306" s="1">
        <v>0</v>
      </c>
      <c r="L2306" s="2">
        <v>0</v>
      </c>
      <c r="M2306" s="1">
        <v>0</v>
      </c>
      <c r="N2306" s="1">
        <v>0</v>
      </c>
      <c r="O2306" s="1">
        <v>0</v>
      </c>
      <c r="P2306" s="1">
        <v>0</v>
      </c>
      <c r="Q2306" s="1">
        <f t="shared" si="1282"/>
        <v>0</v>
      </c>
      <c r="R2306" s="1">
        <v>771</v>
      </c>
      <c r="S2306" s="1">
        <f t="shared" si="1283"/>
        <v>2892021</v>
      </c>
      <c r="T2306" s="1">
        <v>150000</v>
      </c>
      <c r="U2306" s="1">
        <v>50000</v>
      </c>
      <c r="V2306" s="1">
        <v>0</v>
      </c>
      <c r="W2306" s="1">
        <v>50000</v>
      </c>
      <c r="X2306" s="1">
        <v>0</v>
      </c>
      <c r="Y2306" s="1">
        <v>0</v>
      </c>
      <c r="Z2306" s="1">
        <v>0</v>
      </c>
      <c r="AA2306" s="1">
        <v>0</v>
      </c>
      <c r="AB2306" s="1">
        <v>0</v>
      </c>
      <c r="AC2306" s="1">
        <v>0</v>
      </c>
      <c r="AD2306" s="1">
        <v>0</v>
      </c>
    </row>
    <row r="2307" spans="1:30" s="20" customFormat="1" ht="36" customHeight="1" x14ac:dyDescent="0.25">
      <c r="A2307" s="2">
        <f t="shared" si="1281"/>
        <v>2226</v>
      </c>
      <c r="B2307" s="6">
        <f>A2307</f>
        <v>2226</v>
      </c>
      <c r="C2307" s="29" t="s">
        <v>2128</v>
      </c>
      <c r="D2307" s="4">
        <f t="shared" si="1280"/>
        <v>10617675.140000001</v>
      </c>
      <c r="E2307" s="1">
        <f>SUM(F2307:K2307)</f>
        <v>2607433.1399999997</v>
      </c>
      <c r="F2307" s="1">
        <f>804*777.41</f>
        <v>625037.64</v>
      </c>
      <c r="G2307" s="1">
        <f>1693*777.41</f>
        <v>1316155.1299999999</v>
      </c>
      <c r="H2307" s="1">
        <f>390*777.41</f>
        <v>303189.89999999997</v>
      </c>
      <c r="I2307" s="1">
        <v>0</v>
      </c>
      <c r="J2307" s="1">
        <f>467*777.41</f>
        <v>363050.47</v>
      </c>
      <c r="K2307" s="1">
        <v>0</v>
      </c>
      <c r="L2307" s="2">
        <v>0</v>
      </c>
      <c r="M2307" s="1">
        <f>L2307*3500000</f>
        <v>0</v>
      </c>
      <c r="N2307" s="1">
        <v>668</v>
      </c>
      <c r="O2307" s="1">
        <f>N2307*7750</f>
        <v>5177000</v>
      </c>
      <c r="P2307" s="1">
        <v>0</v>
      </c>
      <c r="Q2307" s="1">
        <v>0</v>
      </c>
      <c r="R2307" s="1">
        <v>742</v>
      </c>
      <c r="S2307" s="1">
        <f>R2307*3751</f>
        <v>2783242</v>
      </c>
      <c r="T2307" s="1">
        <v>0</v>
      </c>
      <c r="U2307" s="1">
        <v>50000</v>
      </c>
      <c r="V2307" s="1">
        <v>0</v>
      </c>
      <c r="W2307" s="1">
        <v>0</v>
      </c>
      <c r="X2307" s="1">
        <v>0</v>
      </c>
      <c r="Y2307" s="1">
        <v>0</v>
      </c>
      <c r="Z2307" s="1">
        <v>0</v>
      </c>
      <c r="AA2307" s="1">
        <v>0</v>
      </c>
      <c r="AB2307" s="1">
        <v>0</v>
      </c>
      <c r="AC2307" s="1">
        <v>0</v>
      </c>
      <c r="AD2307" s="1">
        <v>0</v>
      </c>
    </row>
    <row r="2308" spans="1:30" s="20" customFormat="1" ht="36" customHeight="1" x14ac:dyDescent="0.25">
      <c r="A2308" s="2">
        <f t="shared" si="1281"/>
        <v>2227</v>
      </c>
      <c r="B2308" s="6">
        <f>A2308</f>
        <v>2227</v>
      </c>
      <c r="C2308" s="29" t="s">
        <v>2129</v>
      </c>
      <c r="D2308" s="4">
        <f t="shared" si="1280"/>
        <v>5523328.6600000001</v>
      </c>
      <c r="E2308" s="1">
        <f>SUM(F2308:K2308)</f>
        <v>2697588.66</v>
      </c>
      <c r="F2308" s="1">
        <f>804*804.29</f>
        <v>646649.15999999992</v>
      </c>
      <c r="G2308" s="1">
        <f>1693*804.29</f>
        <v>1361662.97</v>
      </c>
      <c r="H2308" s="1">
        <f>390*804.29</f>
        <v>313673.09999999998</v>
      </c>
      <c r="I2308" s="1">
        <v>0</v>
      </c>
      <c r="J2308" s="1">
        <f>467*804.29</f>
        <v>375603.43</v>
      </c>
      <c r="K2308" s="1">
        <v>0</v>
      </c>
      <c r="L2308" s="2">
        <v>0</v>
      </c>
      <c r="M2308" s="1">
        <f>L2308*3500000</f>
        <v>0</v>
      </c>
      <c r="N2308" s="1">
        <v>0</v>
      </c>
      <c r="O2308" s="1">
        <v>0</v>
      </c>
      <c r="P2308" s="1">
        <v>0</v>
      </c>
      <c r="Q2308" s="1">
        <v>0</v>
      </c>
      <c r="R2308" s="1">
        <v>740</v>
      </c>
      <c r="S2308" s="1">
        <f>R2308*3751</f>
        <v>2775740</v>
      </c>
      <c r="T2308" s="1">
        <v>0</v>
      </c>
      <c r="U2308" s="1">
        <v>50000</v>
      </c>
      <c r="V2308" s="1">
        <v>0</v>
      </c>
      <c r="W2308" s="1">
        <v>0</v>
      </c>
      <c r="X2308" s="1">
        <v>0</v>
      </c>
      <c r="Y2308" s="1">
        <v>0</v>
      </c>
      <c r="Z2308" s="1">
        <v>0</v>
      </c>
      <c r="AA2308" s="1">
        <v>0</v>
      </c>
      <c r="AB2308" s="1">
        <v>0</v>
      </c>
      <c r="AC2308" s="1">
        <v>0</v>
      </c>
      <c r="AD2308" s="1">
        <v>0</v>
      </c>
    </row>
    <row r="2309" spans="1:30" s="20" customFormat="1" ht="36" customHeight="1" x14ac:dyDescent="0.25">
      <c r="A2309" s="2">
        <f t="shared" si="1281"/>
        <v>2228</v>
      </c>
      <c r="B2309" s="6">
        <f>A2309</f>
        <v>2228</v>
      </c>
      <c r="C2309" s="29" t="s">
        <v>2130</v>
      </c>
      <c r="D2309" s="4">
        <f t="shared" si="1280"/>
        <v>10583417.84</v>
      </c>
      <c r="E2309" s="1">
        <f>SUM(F2309:K2309)</f>
        <v>2651202.84</v>
      </c>
      <c r="F2309" s="1">
        <f>804*790.46</f>
        <v>635529.84000000008</v>
      </c>
      <c r="G2309" s="1">
        <f>1693*790.46</f>
        <v>1338248.78</v>
      </c>
      <c r="H2309" s="1">
        <f>390*790.46</f>
        <v>308279.40000000002</v>
      </c>
      <c r="I2309" s="1">
        <v>0</v>
      </c>
      <c r="J2309" s="1">
        <f>467*790.46</f>
        <v>369144.82</v>
      </c>
      <c r="K2309" s="1">
        <v>0</v>
      </c>
      <c r="L2309" s="2">
        <v>0</v>
      </c>
      <c r="M2309" s="1">
        <f>L2309*3500000</f>
        <v>0</v>
      </c>
      <c r="N2309" s="1">
        <v>671</v>
      </c>
      <c r="O2309" s="1">
        <f>N2309*7750</f>
        <v>5200250</v>
      </c>
      <c r="P2309" s="1">
        <v>0</v>
      </c>
      <c r="Q2309" s="1">
        <v>0</v>
      </c>
      <c r="R2309" s="1">
        <v>715</v>
      </c>
      <c r="S2309" s="1">
        <f>R2309*3751</f>
        <v>2681965</v>
      </c>
      <c r="T2309" s="1">
        <v>0</v>
      </c>
      <c r="U2309" s="1">
        <v>50000</v>
      </c>
      <c r="V2309" s="1">
        <v>0</v>
      </c>
      <c r="W2309" s="1">
        <v>0</v>
      </c>
      <c r="X2309" s="1">
        <v>0</v>
      </c>
      <c r="Y2309" s="1">
        <v>0</v>
      </c>
      <c r="Z2309" s="1">
        <v>0</v>
      </c>
      <c r="AA2309" s="1">
        <v>0</v>
      </c>
      <c r="AB2309" s="1">
        <v>0</v>
      </c>
      <c r="AC2309" s="1">
        <v>0</v>
      </c>
      <c r="AD2309" s="1">
        <v>0</v>
      </c>
    </row>
    <row r="2310" spans="1:30" s="20" customFormat="1" ht="36" customHeight="1" x14ac:dyDescent="0.25">
      <c r="A2310" s="2">
        <f t="shared" si="1281"/>
        <v>2229</v>
      </c>
      <c r="B2310" s="3">
        <f t="shared" si="1266"/>
        <v>2229</v>
      </c>
      <c r="C2310" s="19" t="s">
        <v>1394</v>
      </c>
      <c r="D2310" s="4">
        <f t="shared" si="1280"/>
        <v>12182738.66</v>
      </c>
      <c r="E2310" s="1">
        <f t="shared" si="1284"/>
        <v>4223658.66</v>
      </c>
      <c r="F2310" s="1">
        <f>804*1259.29</f>
        <v>1012469.1599999999</v>
      </c>
      <c r="G2310" s="1">
        <f>1693*1259.29</f>
        <v>2131977.9699999997</v>
      </c>
      <c r="H2310" s="1">
        <f>390*1259.29</f>
        <v>491123.1</v>
      </c>
      <c r="I2310" s="1">
        <v>0</v>
      </c>
      <c r="J2310" s="1">
        <f>467*1259.29</f>
        <v>588088.42999999993</v>
      </c>
      <c r="K2310" s="1">
        <v>0</v>
      </c>
      <c r="L2310" s="2">
        <v>0</v>
      </c>
      <c r="M2310" s="1">
        <v>0</v>
      </c>
      <c r="N2310" s="1">
        <v>714</v>
      </c>
      <c r="O2310" s="1">
        <f>N2310*7750</f>
        <v>5533500</v>
      </c>
      <c r="P2310" s="1">
        <v>0</v>
      </c>
      <c r="Q2310" s="1">
        <f t="shared" si="1282"/>
        <v>0</v>
      </c>
      <c r="R2310" s="1">
        <v>580</v>
      </c>
      <c r="S2310" s="1">
        <f t="shared" si="1283"/>
        <v>2175580</v>
      </c>
      <c r="T2310" s="1">
        <v>150000</v>
      </c>
      <c r="U2310" s="1">
        <v>50000</v>
      </c>
      <c r="V2310" s="1">
        <v>0</v>
      </c>
      <c r="W2310" s="1">
        <v>50000</v>
      </c>
      <c r="X2310" s="1">
        <v>0</v>
      </c>
      <c r="Y2310" s="1">
        <v>0</v>
      </c>
      <c r="Z2310" s="1">
        <v>0</v>
      </c>
      <c r="AA2310" s="1">
        <v>0</v>
      </c>
      <c r="AB2310" s="1">
        <v>0</v>
      </c>
      <c r="AC2310" s="1">
        <v>0</v>
      </c>
      <c r="AD2310" s="1">
        <v>0</v>
      </c>
    </row>
    <row r="2311" spans="1:30" s="20" customFormat="1" ht="36" customHeight="1" x14ac:dyDescent="0.25">
      <c r="A2311" s="2">
        <f t="shared" si="1281"/>
        <v>2230</v>
      </c>
      <c r="B2311" s="3">
        <f t="shared" si="1266"/>
        <v>2230</v>
      </c>
      <c r="C2311" s="19" t="s">
        <v>1395</v>
      </c>
      <c r="D2311" s="4">
        <f t="shared" si="1280"/>
        <v>9689552</v>
      </c>
      <c r="E2311" s="1">
        <f t="shared" si="1284"/>
        <v>2039232</v>
      </c>
      <c r="F2311" s="1">
        <f>804*608</f>
        <v>488832</v>
      </c>
      <c r="G2311" s="1">
        <f>1693*608</f>
        <v>1029344</v>
      </c>
      <c r="H2311" s="1">
        <f>390*608</f>
        <v>237120</v>
      </c>
      <c r="I2311" s="1">
        <v>0</v>
      </c>
      <c r="J2311" s="1">
        <f>467*608</f>
        <v>283936</v>
      </c>
      <c r="K2311" s="1">
        <v>0</v>
      </c>
      <c r="L2311" s="2">
        <v>0</v>
      </c>
      <c r="M2311" s="1">
        <v>0</v>
      </c>
      <c r="N2311" s="1">
        <v>800</v>
      </c>
      <c r="O2311" s="1">
        <f>N2311*7750</f>
        <v>6200000</v>
      </c>
      <c r="P2311" s="1">
        <v>0</v>
      </c>
      <c r="Q2311" s="1">
        <f t="shared" si="1282"/>
        <v>0</v>
      </c>
      <c r="R2311" s="1">
        <v>320</v>
      </c>
      <c r="S2311" s="1">
        <f t="shared" si="1283"/>
        <v>1200320</v>
      </c>
      <c r="T2311" s="1">
        <v>150000</v>
      </c>
      <c r="U2311" s="1">
        <v>50000</v>
      </c>
      <c r="V2311" s="1">
        <v>0</v>
      </c>
      <c r="W2311" s="1">
        <v>50000</v>
      </c>
      <c r="X2311" s="1">
        <v>0</v>
      </c>
      <c r="Y2311" s="1">
        <v>0</v>
      </c>
      <c r="Z2311" s="1">
        <v>0</v>
      </c>
      <c r="AA2311" s="1">
        <v>0</v>
      </c>
      <c r="AB2311" s="1">
        <v>0</v>
      </c>
      <c r="AC2311" s="1">
        <v>0</v>
      </c>
      <c r="AD2311" s="1">
        <v>0</v>
      </c>
    </row>
    <row r="2312" spans="1:30" s="20" customFormat="1" ht="36" customHeight="1" x14ac:dyDescent="0.25">
      <c r="A2312" s="2">
        <f t="shared" si="1281"/>
        <v>2231</v>
      </c>
      <c r="B2312" s="3">
        <f>A2312</f>
        <v>2231</v>
      </c>
      <c r="C2312" s="19" t="s">
        <v>2556</v>
      </c>
      <c r="D2312" s="4">
        <f t="shared" si="1280"/>
        <v>2930816.4000000004</v>
      </c>
      <c r="E2312" s="1">
        <f>SUM(F2312:K2312)</f>
        <v>1232930.4000000001</v>
      </c>
      <c r="F2312" s="1">
        <f>804*367.6</f>
        <v>295550.40000000002</v>
      </c>
      <c r="G2312" s="1">
        <f>1693*367.6</f>
        <v>622346.80000000005</v>
      </c>
      <c r="H2312" s="1">
        <f>390*367.6</f>
        <v>143364</v>
      </c>
      <c r="I2312" s="1">
        <v>0</v>
      </c>
      <c r="J2312" s="1">
        <f>467*367.6</f>
        <v>171669.2</v>
      </c>
      <c r="K2312" s="1">
        <v>0</v>
      </c>
      <c r="L2312" s="2">
        <v>0</v>
      </c>
      <c r="M2312" s="1">
        <v>0</v>
      </c>
      <c r="N2312" s="1">
        <v>0</v>
      </c>
      <c r="O2312" s="1">
        <v>0</v>
      </c>
      <c r="P2312" s="1">
        <v>0</v>
      </c>
      <c r="Q2312" s="1">
        <f>P2312*1400</f>
        <v>0</v>
      </c>
      <c r="R2312" s="1">
        <v>386</v>
      </c>
      <c r="S2312" s="1">
        <f>R2312*3751</f>
        <v>1447886</v>
      </c>
      <c r="T2312" s="1">
        <v>150000</v>
      </c>
      <c r="U2312" s="1">
        <v>50000</v>
      </c>
      <c r="V2312" s="1">
        <v>0</v>
      </c>
      <c r="W2312" s="1">
        <v>50000</v>
      </c>
      <c r="X2312" s="1">
        <v>0</v>
      </c>
      <c r="Y2312" s="1">
        <v>0</v>
      </c>
      <c r="Z2312" s="1">
        <v>0</v>
      </c>
      <c r="AA2312" s="1">
        <v>0</v>
      </c>
      <c r="AB2312" s="1">
        <v>0</v>
      </c>
      <c r="AC2312" s="1">
        <v>0</v>
      </c>
      <c r="AD2312" s="1">
        <v>0</v>
      </c>
    </row>
    <row r="2313" spans="1:30" s="20" customFormat="1" ht="36" customHeight="1" x14ac:dyDescent="0.25">
      <c r="A2313" s="2">
        <f t="shared" si="1281"/>
        <v>2232</v>
      </c>
      <c r="B2313" s="3">
        <f t="shared" si="1266"/>
        <v>2232</v>
      </c>
      <c r="C2313" s="19" t="s">
        <v>2557</v>
      </c>
      <c r="D2313" s="4">
        <f t="shared" si="1280"/>
        <v>8623802.4000000004</v>
      </c>
      <c r="E2313" s="1">
        <f t="shared" si="1284"/>
        <v>2792540.4000000004</v>
      </c>
      <c r="F2313" s="1">
        <f>804*832.6</f>
        <v>669410.4</v>
      </c>
      <c r="G2313" s="1">
        <f>1693*832.6</f>
        <v>1409591.8</v>
      </c>
      <c r="H2313" s="1">
        <f>390*832.6</f>
        <v>324714</v>
      </c>
      <c r="I2313" s="1">
        <v>0</v>
      </c>
      <c r="J2313" s="1">
        <f>467*832.6</f>
        <v>388824.2</v>
      </c>
      <c r="K2313" s="1">
        <v>0</v>
      </c>
      <c r="L2313" s="2">
        <v>0</v>
      </c>
      <c r="M2313" s="1">
        <v>0</v>
      </c>
      <c r="N2313" s="1">
        <v>832</v>
      </c>
      <c r="O2313" s="1">
        <f>N2313*4968</f>
        <v>4133376</v>
      </c>
      <c r="P2313" s="1">
        <v>0</v>
      </c>
      <c r="Q2313" s="1">
        <f t="shared" si="1282"/>
        <v>0</v>
      </c>
      <c r="R2313" s="1">
        <v>386</v>
      </c>
      <c r="S2313" s="1">
        <f t="shared" si="1283"/>
        <v>1447886</v>
      </c>
      <c r="T2313" s="1">
        <v>150000</v>
      </c>
      <c r="U2313" s="1">
        <v>50000</v>
      </c>
      <c r="V2313" s="1">
        <v>0</v>
      </c>
      <c r="W2313" s="1">
        <v>50000</v>
      </c>
      <c r="X2313" s="1">
        <v>0</v>
      </c>
      <c r="Y2313" s="1">
        <v>0</v>
      </c>
      <c r="Z2313" s="1">
        <v>0</v>
      </c>
      <c r="AA2313" s="1">
        <v>0</v>
      </c>
      <c r="AB2313" s="1">
        <v>0</v>
      </c>
      <c r="AC2313" s="1">
        <v>0</v>
      </c>
      <c r="AD2313" s="1">
        <v>0</v>
      </c>
    </row>
    <row r="2314" spans="1:30" s="20" customFormat="1" ht="36" customHeight="1" x14ac:dyDescent="0.25">
      <c r="A2314" s="2">
        <f t="shared" si="1281"/>
        <v>2233</v>
      </c>
      <c r="B2314" s="3">
        <f t="shared" si="1266"/>
        <v>2233</v>
      </c>
      <c r="C2314" s="19" t="s">
        <v>2558</v>
      </c>
      <c r="D2314" s="4">
        <f t="shared" si="1280"/>
        <v>6923229</v>
      </c>
      <c r="E2314" s="1">
        <f t="shared" si="1284"/>
        <v>1272843</v>
      </c>
      <c r="F2314" s="1">
        <f>804*379.5</f>
        <v>305118</v>
      </c>
      <c r="G2314" s="1">
        <f>1693*379.5</f>
        <v>642493.5</v>
      </c>
      <c r="H2314" s="1">
        <f>390*379.5</f>
        <v>148005</v>
      </c>
      <c r="I2314" s="1">
        <v>0</v>
      </c>
      <c r="J2314" s="1">
        <f>467*379.5</f>
        <v>177226.5</v>
      </c>
      <c r="K2314" s="1">
        <v>0</v>
      </c>
      <c r="L2314" s="2">
        <v>0</v>
      </c>
      <c r="M2314" s="1">
        <v>0</v>
      </c>
      <c r="N2314" s="1">
        <v>510</v>
      </c>
      <c r="O2314" s="1">
        <f>N2314*7750</f>
        <v>3952500</v>
      </c>
      <c r="P2314" s="1">
        <v>0</v>
      </c>
      <c r="Q2314" s="1">
        <f t="shared" si="1282"/>
        <v>0</v>
      </c>
      <c r="R2314" s="1">
        <v>386</v>
      </c>
      <c r="S2314" s="1">
        <f t="shared" si="1283"/>
        <v>1447886</v>
      </c>
      <c r="T2314" s="1">
        <v>150000</v>
      </c>
      <c r="U2314" s="1">
        <v>50000</v>
      </c>
      <c r="V2314" s="1">
        <v>0</v>
      </c>
      <c r="W2314" s="1">
        <v>50000</v>
      </c>
      <c r="X2314" s="1">
        <v>0</v>
      </c>
      <c r="Y2314" s="1">
        <v>0</v>
      </c>
      <c r="Z2314" s="1">
        <v>0</v>
      </c>
      <c r="AA2314" s="1">
        <v>0</v>
      </c>
      <c r="AB2314" s="1">
        <v>0</v>
      </c>
      <c r="AC2314" s="1">
        <v>0</v>
      </c>
      <c r="AD2314" s="1">
        <v>0</v>
      </c>
    </row>
    <row r="2315" spans="1:30" s="20" customFormat="1" ht="54.95" customHeight="1" x14ac:dyDescent="0.25">
      <c r="A2315" s="3"/>
      <c r="B2315" s="47" t="s">
        <v>1980</v>
      </c>
      <c r="C2315" s="48"/>
      <c r="D2315" s="4">
        <f>SUM(D2316:D2332)</f>
        <v>168866369.80000001</v>
      </c>
      <c r="E2315" s="4">
        <f t="shared" ref="E2315:AD2315" si="1289">SUM(E2316:E2332)</f>
        <v>64122841.800000004</v>
      </c>
      <c r="F2315" s="4">
        <f t="shared" si="1289"/>
        <v>18074000.399999999</v>
      </c>
      <c r="G2315" s="4">
        <f t="shared" si="1289"/>
        <v>31361978.5</v>
      </c>
      <c r="H2315" s="4">
        <f t="shared" si="1289"/>
        <v>6681859.7999999998</v>
      </c>
      <c r="I2315" s="4">
        <f t="shared" si="1289"/>
        <v>4864.8</v>
      </c>
      <c r="J2315" s="4">
        <f t="shared" si="1289"/>
        <v>8000138.3000000007</v>
      </c>
      <c r="K2315" s="4">
        <f t="shared" si="1289"/>
        <v>0</v>
      </c>
      <c r="L2315" s="17">
        <f t="shared" si="1289"/>
        <v>0</v>
      </c>
      <c r="M2315" s="4">
        <f t="shared" si="1289"/>
        <v>0</v>
      </c>
      <c r="N2315" s="4">
        <f t="shared" si="1289"/>
        <v>6011</v>
      </c>
      <c r="O2315" s="4">
        <f t="shared" si="1289"/>
        <v>43180082</v>
      </c>
      <c r="P2315" s="4">
        <f t="shared" si="1289"/>
        <v>250</v>
      </c>
      <c r="Q2315" s="4">
        <f t="shared" si="1289"/>
        <v>350000</v>
      </c>
      <c r="R2315" s="4">
        <f t="shared" si="1289"/>
        <v>15946</v>
      </c>
      <c r="S2315" s="4">
        <f t="shared" si="1289"/>
        <v>59813446</v>
      </c>
      <c r="T2315" s="4">
        <f t="shared" si="1289"/>
        <v>150000</v>
      </c>
      <c r="U2315" s="4">
        <f t="shared" si="1289"/>
        <v>650000</v>
      </c>
      <c r="V2315" s="4">
        <f t="shared" si="1289"/>
        <v>0</v>
      </c>
      <c r="W2315" s="4">
        <f t="shared" si="1289"/>
        <v>600000</v>
      </c>
      <c r="X2315" s="4">
        <f t="shared" si="1289"/>
        <v>0</v>
      </c>
      <c r="Y2315" s="4">
        <f t="shared" si="1289"/>
        <v>0</v>
      </c>
      <c r="Z2315" s="4">
        <f t="shared" si="1289"/>
        <v>0</v>
      </c>
      <c r="AA2315" s="4">
        <f t="shared" si="1289"/>
        <v>0</v>
      </c>
      <c r="AB2315" s="4">
        <f t="shared" si="1289"/>
        <v>0</v>
      </c>
      <c r="AC2315" s="4">
        <f t="shared" si="1289"/>
        <v>0</v>
      </c>
      <c r="AD2315" s="4">
        <f t="shared" si="1289"/>
        <v>0</v>
      </c>
    </row>
    <row r="2316" spans="1:30" s="20" customFormat="1" ht="36" customHeight="1" x14ac:dyDescent="0.25">
      <c r="A2316" s="2">
        <f t="shared" ref="A2316:A2332" si="1290">ROW()-ROW($A$11)-71</f>
        <v>2234</v>
      </c>
      <c r="B2316" s="3">
        <f t="shared" si="1266"/>
        <v>2234</v>
      </c>
      <c r="C2316" s="19" t="s">
        <v>1396</v>
      </c>
      <c r="D2316" s="4">
        <f>E2316+M2316+O2316+Q2316+S2316+T2316+U2316+V2316+W2316+X2316+Z2316+AA2316+AB2316+AC2316+AD2316</f>
        <v>26286181.000000004</v>
      </c>
      <c r="E2316" s="1">
        <f t="shared" ref="E2316:E2332" si="1291">SUM(F2316:K2316)</f>
        <v>12162000.000000004</v>
      </c>
      <c r="F2316" s="1">
        <f>804*4864.8</f>
        <v>3911299.2</v>
      </c>
      <c r="G2316" s="1">
        <f>1693*4864.8</f>
        <v>8236106.4000000004</v>
      </c>
      <c r="H2316" s="1">
        <v>4864.8</v>
      </c>
      <c r="I2316" s="1">
        <v>4864.8</v>
      </c>
      <c r="J2316" s="1">
        <v>4864.8</v>
      </c>
      <c r="K2316" s="1">
        <v>0</v>
      </c>
      <c r="L2316" s="2">
        <v>0</v>
      </c>
      <c r="M2316" s="1">
        <v>0</v>
      </c>
      <c r="N2316" s="1">
        <v>1224</v>
      </c>
      <c r="O2316" s="1">
        <f>N2316*4968</f>
        <v>6080832</v>
      </c>
      <c r="P2316" s="1">
        <v>50</v>
      </c>
      <c r="Q2316" s="1">
        <f t="shared" ref="Q2316:Q2332" si="1292">P2316*1400</f>
        <v>70000</v>
      </c>
      <c r="R2316" s="1">
        <v>2099</v>
      </c>
      <c r="S2316" s="1">
        <f t="shared" ref="S2316:S2332" si="1293">R2316*3751</f>
        <v>7873349</v>
      </c>
      <c r="T2316" s="1">
        <v>0</v>
      </c>
      <c r="U2316" s="1">
        <v>50000</v>
      </c>
      <c r="V2316" s="1">
        <v>0</v>
      </c>
      <c r="W2316" s="1">
        <v>50000</v>
      </c>
      <c r="X2316" s="1">
        <v>0</v>
      </c>
      <c r="Y2316" s="1">
        <v>0</v>
      </c>
      <c r="Z2316" s="1">
        <v>0</v>
      </c>
      <c r="AA2316" s="1">
        <v>0</v>
      </c>
      <c r="AB2316" s="1">
        <v>0</v>
      </c>
      <c r="AC2316" s="1">
        <v>0</v>
      </c>
      <c r="AD2316" s="1">
        <v>0</v>
      </c>
    </row>
    <row r="2317" spans="1:30" s="20" customFormat="1" ht="36" customHeight="1" x14ac:dyDescent="0.25">
      <c r="A2317" s="2">
        <f t="shared" si="1290"/>
        <v>2235</v>
      </c>
      <c r="B2317" s="6">
        <f t="shared" ref="B2317:B2318" si="1294">A2317</f>
        <v>2235</v>
      </c>
      <c r="C2317" s="19" t="s">
        <v>2131</v>
      </c>
      <c r="D2317" s="4">
        <f>E2317+M2317+O2317+Q2317+S2317+T2317+U2317+V2317+X2317+W2317+Z2317+AA2317+AB2317+AC2317+AD2317</f>
        <v>9568801</v>
      </c>
      <c r="E2317" s="1">
        <f t="shared" si="1291"/>
        <v>0</v>
      </c>
      <c r="F2317" s="1">
        <v>0</v>
      </c>
      <c r="G2317" s="1">
        <v>0</v>
      </c>
      <c r="H2317" s="1">
        <v>0</v>
      </c>
      <c r="I2317" s="1">
        <v>0</v>
      </c>
      <c r="J2317" s="1">
        <v>0</v>
      </c>
      <c r="K2317" s="1">
        <v>0</v>
      </c>
      <c r="L2317" s="2">
        <v>0</v>
      </c>
      <c r="M2317" s="1">
        <v>0</v>
      </c>
      <c r="N2317" s="1">
        <v>0</v>
      </c>
      <c r="O2317" s="1">
        <v>0</v>
      </c>
      <c r="P2317" s="1">
        <v>0</v>
      </c>
      <c r="Q2317" s="1">
        <f t="shared" si="1292"/>
        <v>0</v>
      </c>
      <c r="R2317" s="1">
        <v>2551</v>
      </c>
      <c r="S2317" s="1">
        <f t="shared" si="1293"/>
        <v>9568801</v>
      </c>
      <c r="T2317" s="1">
        <v>0</v>
      </c>
      <c r="U2317" s="1">
        <v>0</v>
      </c>
      <c r="V2317" s="1">
        <v>0</v>
      </c>
      <c r="W2317" s="1">
        <v>0</v>
      </c>
      <c r="X2317" s="1">
        <v>0</v>
      </c>
      <c r="Y2317" s="1">
        <v>0</v>
      </c>
      <c r="Z2317" s="1">
        <v>0</v>
      </c>
      <c r="AA2317" s="1">
        <v>0</v>
      </c>
      <c r="AB2317" s="1">
        <v>0</v>
      </c>
      <c r="AC2317" s="1">
        <v>0</v>
      </c>
      <c r="AD2317" s="1">
        <v>0</v>
      </c>
    </row>
    <row r="2318" spans="1:30" s="20" customFormat="1" ht="36" customHeight="1" x14ac:dyDescent="0.25">
      <c r="A2318" s="2">
        <f t="shared" si="1290"/>
        <v>2236</v>
      </c>
      <c r="B2318" s="6">
        <f t="shared" si="1294"/>
        <v>2236</v>
      </c>
      <c r="C2318" s="19" t="s">
        <v>2134</v>
      </c>
      <c r="D2318" s="4">
        <f>E2318+M2318+O2318+Q2318+S2318+T2318+U2318+V2318+X2318+W2318+Z2318+AA2318+AB2318+AC2318+AD2318</f>
        <v>2213090</v>
      </c>
      <c r="E2318" s="1">
        <f t="shared" si="1291"/>
        <v>0</v>
      </c>
      <c r="F2318" s="1">
        <v>0</v>
      </c>
      <c r="G2318" s="1">
        <v>0</v>
      </c>
      <c r="H2318" s="1">
        <v>0</v>
      </c>
      <c r="I2318" s="1">
        <v>0</v>
      </c>
      <c r="J2318" s="1">
        <v>0</v>
      </c>
      <c r="K2318" s="1">
        <v>0</v>
      </c>
      <c r="L2318" s="2">
        <v>0</v>
      </c>
      <c r="M2318" s="1">
        <v>0</v>
      </c>
      <c r="N2318" s="1">
        <v>0</v>
      </c>
      <c r="O2318" s="1">
        <v>0</v>
      </c>
      <c r="P2318" s="1">
        <v>0</v>
      </c>
      <c r="Q2318" s="1">
        <f t="shared" si="1292"/>
        <v>0</v>
      </c>
      <c r="R2318" s="1">
        <v>590</v>
      </c>
      <c r="S2318" s="1">
        <f t="shared" si="1293"/>
        <v>2213090</v>
      </c>
      <c r="T2318" s="1">
        <v>0</v>
      </c>
      <c r="U2318" s="1">
        <v>0</v>
      </c>
      <c r="V2318" s="1">
        <v>0</v>
      </c>
      <c r="W2318" s="1">
        <v>0</v>
      </c>
      <c r="X2318" s="1">
        <v>0</v>
      </c>
      <c r="Y2318" s="1">
        <v>0</v>
      </c>
      <c r="Z2318" s="1">
        <v>0</v>
      </c>
      <c r="AA2318" s="1">
        <v>0</v>
      </c>
      <c r="AB2318" s="1">
        <v>0</v>
      </c>
      <c r="AC2318" s="1">
        <v>0</v>
      </c>
      <c r="AD2318" s="1">
        <v>0</v>
      </c>
    </row>
    <row r="2319" spans="1:30" s="20" customFormat="1" ht="36" customHeight="1" x14ac:dyDescent="0.25">
      <c r="A2319" s="2">
        <f t="shared" si="1290"/>
        <v>2237</v>
      </c>
      <c r="B2319" s="3">
        <f t="shared" ref="B2319:B2414" si="1295">A2319</f>
        <v>2237</v>
      </c>
      <c r="C2319" s="19" t="s">
        <v>1397</v>
      </c>
      <c r="D2319" s="4">
        <f>E2319+M2319+O2319+Q2319+S2319+T2319+U2319+V2319+W2319+X2319+Z2319+AA2319+AB2319+AC2319+AD2319</f>
        <v>5870516.8000000007</v>
      </c>
      <c r="E2319" s="1">
        <f t="shared" si="1291"/>
        <v>1942636.8000000003</v>
      </c>
      <c r="F2319" s="1">
        <f>804*579.2</f>
        <v>465676.80000000005</v>
      </c>
      <c r="G2319" s="1">
        <f>1693*579.2</f>
        <v>980585.60000000009</v>
      </c>
      <c r="H2319" s="1">
        <f>390*579.2</f>
        <v>225888.00000000003</v>
      </c>
      <c r="I2319" s="1">
        <v>0</v>
      </c>
      <c r="J2319" s="1">
        <f>467*579.2</f>
        <v>270486.40000000002</v>
      </c>
      <c r="K2319" s="1">
        <v>0</v>
      </c>
      <c r="L2319" s="2">
        <v>0</v>
      </c>
      <c r="M2319" s="1">
        <v>0</v>
      </c>
      <c r="N2319" s="1">
        <v>310</v>
      </c>
      <c r="O2319" s="1">
        <f>N2319*7750</f>
        <v>2402500</v>
      </c>
      <c r="P2319" s="1">
        <v>0</v>
      </c>
      <c r="Q2319" s="1">
        <f t="shared" si="1292"/>
        <v>0</v>
      </c>
      <c r="R2319" s="1">
        <v>380</v>
      </c>
      <c r="S2319" s="1">
        <f t="shared" si="1293"/>
        <v>1425380</v>
      </c>
      <c r="T2319" s="1">
        <v>0</v>
      </c>
      <c r="U2319" s="1">
        <v>50000</v>
      </c>
      <c r="V2319" s="1">
        <v>0</v>
      </c>
      <c r="W2319" s="1">
        <v>50000</v>
      </c>
      <c r="X2319" s="1">
        <v>0</v>
      </c>
      <c r="Y2319" s="1">
        <v>0</v>
      </c>
      <c r="Z2319" s="1">
        <v>0</v>
      </c>
      <c r="AA2319" s="1">
        <v>0</v>
      </c>
      <c r="AB2319" s="1">
        <v>0</v>
      </c>
      <c r="AC2319" s="1">
        <v>0</v>
      </c>
      <c r="AD2319" s="1">
        <v>0</v>
      </c>
    </row>
    <row r="2320" spans="1:30" s="20" customFormat="1" ht="36" customHeight="1" x14ac:dyDescent="0.25">
      <c r="A2320" s="2">
        <f t="shared" si="1290"/>
        <v>2238</v>
      </c>
      <c r="B2320" s="6">
        <f t="shared" si="1295"/>
        <v>2238</v>
      </c>
      <c r="C2320" s="19" t="s">
        <v>2135</v>
      </c>
      <c r="D2320" s="4">
        <f>E2320+M2320+O2320+Q2320+S2320+T2320+U2320+V2320+X2320+W2320+Z2320+AA2320+AB2320+AC2320+AD2320</f>
        <v>8589790</v>
      </c>
      <c r="E2320" s="1">
        <f t="shared" ref="E2320" si="1296">SUM(F2320:K2320)</f>
        <v>0</v>
      </c>
      <c r="F2320" s="1">
        <v>0</v>
      </c>
      <c r="G2320" s="1">
        <v>0</v>
      </c>
      <c r="H2320" s="1">
        <v>0</v>
      </c>
      <c r="I2320" s="1">
        <v>0</v>
      </c>
      <c r="J2320" s="1">
        <v>0</v>
      </c>
      <c r="K2320" s="1">
        <v>0</v>
      </c>
      <c r="L2320" s="2">
        <v>0</v>
      </c>
      <c r="M2320" s="1">
        <v>0</v>
      </c>
      <c r="N2320" s="1">
        <v>0</v>
      </c>
      <c r="O2320" s="1">
        <v>0</v>
      </c>
      <c r="P2320" s="1">
        <v>0</v>
      </c>
      <c r="Q2320" s="1">
        <f t="shared" ref="Q2320" si="1297">P2320*1400</f>
        <v>0</v>
      </c>
      <c r="R2320" s="1">
        <v>2290</v>
      </c>
      <c r="S2320" s="1">
        <f t="shared" ref="S2320" si="1298">R2320*3751</f>
        <v>8589790</v>
      </c>
      <c r="T2320" s="1">
        <v>0</v>
      </c>
      <c r="U2320" s="1">
        <v>0</v>
      </c>
      <c r="V2320" s="1">
        <v>0</v>
      </c>
      <c r="W2320" s="1">
        <v>0</v>
      </c>
      <c r="X2320" s="1">
        <v>0</v>
      </c>
      <c r="Y2320" s="1">
        <v>0</v>
      </c>
      <c r="Z2320" s="1">
        <v>0</v>
      </c>
      <c r="AA2320" s="1">
        <v>0</v>
      </c>
      <c r="AB2320" s="1">
        <v>0</v>
      </c>
      <c r="AC2320" s="1">
        <v>0</v>
      </c>
      <c r="AD2320" s="1">
        <v>0</v>
      </c>
    </row>
    <row r="2321" spans="1:30" s="20" customFormat="1" ht="36" customHeight="1" x14ac:dyDescent="0.25">
      <c r="A2321" s="2">
        <f t="shared" si="1290"/>
        <v>2239</v>
      </c>
      <c r="B2321" s="3">
        <f t="shared" si="1295"/>
        <v>2239</v>
      </c>
      <c r="C2321" s="19" t="s">
        <v>1398</v>
      </c>
      <c r="D2321" s="4">
        <f t="shared" ref="D2321:D2327" si="1299">E2321+M2321+O2321+Q2321+S2321+T2321+U2321+V2321+W2321+X2321+Z2321+AA2321+AB2321+AC2321+AD2321</f>
        <v>34663834.200000003</v>
      </c>
      <c r="E2321" s="1">
        <f t="shared" si="1291"/>
        <v>26061586.200000003</v>
      </c>
      <c r="F2321" s="1">
        <f>804*7770.3</f>
        <v>6247321.2000000002</v>
      </c>
      <c r="G2321" s="1">
        <f>1693*7770.3</f>
        <v>13155117.9</v>
      </c>
      <c r="H2321" s="1">
        <f>390*7770.3</f>
        <v>3030417</v>
      </c>
      <c r="I2321" s="1">
        <v>0</v>
      </c>
      <c r="J2321" s="1">
        <f>467*7770.3</f>
        <v>3628730.1</v>
      </c>
      <c r="K2321" s="1">
        <v>0</v>
      </c>
      <c r="L2321" s="2">
        <v>0</v>
      </c>
      <c r="M2321" s="1">
        <v>0</v>
      </c>
      <c r="N2321" s="1">
        <v>0</v>
      </c>
      <c r="O2321" s="1">
        <v>0</v>
      </c>
      <c r="P2321" s="1">
        <v>50</v>
      </c>
      <c r="Q2321" s="1">
        <f t="shared" si="1292"/>
        <v>70000</v>
      </c>
      <c r="R2321" s="1">
        <v>2248</v>
      </c>
      <c r="S2321" s="1">
        <f t="shared" si="1293"/>
        <v>8432248</v>
      </c>
      <c r="T2321" s="1">
        <v>0</v>
      </c>
      <c r="U2321" s="1">
        <v>50000</v>
      </c>
      <c r="V2321" s="1">
        <v>0</v>
      </c>
      <c r="W2321" s="1">
        <v>50000</v>
      </c>
      <c r="X2321" s="1">
        <v>0</v>
      </c>
      <c r="Y2321" s="1">
        <v>0</v>
      </c>
      <c r="Z2321" s="1">
        <v>0</v>
      </c>
      <c r="AA2321" s="1">
        <v>0</v>
      </c>
      <c r="AB2321" s="1">
        <v>0</v>
      </c>
      <c r="AC2321" s="1">
        <v>0</v>
      </c>
      <c r="AD2321" s="1">
        <v>0</v>
      </c>
    </row>
    <row r="2322" spans="1:30" s="20" customFormat="1" ht="36" customHeight="1" x14ac:dyDescent="0.25">
      <c r="A2322" s="2">
        <f t="shared" si="1290"/>
        <v>2240</v>
      </c>
      <c r="B2322" s="3">
        <f t="shared" si="1295"/>
        <v>2240</v>
      </c>
      <c r="C2322" s="19" t="s">
        <v>1622</v>
      </c>
      <c r="D2322" s="4">
        <f t="shared" si="1299"/>
        <v>38751849</v>
      </c>
      <c r="E2322" s="1">
        <f t="shared" si="1291"/>
        <v>16389321</v>
      </c>
      <c r="F2322" s="1">
        <f>804*4886.5</f>
        <v>3928746</v>
      </c>
      <c r="G2322" s="1">
        <f>1693*4886.5</f>
        <v>8272844.5</v>
      </c>
      <c r="H2322" s="1">
        <f>390*4886.5</f>
        <v>1905735</v>
      </c>
      <c r="I2322" s="1">
        <v>0</v>
      </c>
      <c r="J2322" s="1">
        <f>467*4886.5</f>
        <v>2281995.5</v>
      </c>
      <c r="K2322" s="1">
        <v>0</v>
      </c>
      <c r="L2322" s="2">
        <v>0</v>
      </c>
      <c r="M2322" s="1">
        <v>0</v>
      </c>
      <c r="N2322" s="1">
        <v>1882</v>
      </c>
      <c r="O2322" s="1">
        <f>N2322*7750</f>
        <v>14585500</v>
      </c>
      <c r="P2322" s="1">
        <v>50</v>
      </c>
      <c r="Q2322" s="1">
        <f t="shared" si="1292"/>
        <v>70000</v>
      </c>
      <c r="R2322" s="1">
        <v>2028</v>
      </c>
      <c r="S2322" s="1">
        <f t="shared" si="1293"/>
        <v>7607028</v>
      </c>
      <c r="T2322" s="1">
        <v>0</v>
      </c>
      <c r="U2322" s="1">
        <v>50000</v>
      </c>
      <c r="V2322" s="1">
        <v>0</v>
      </c>
      <c r="W2322" s="1">
        <v>50000</v>
      </c>
      <c r="X2322" s="1">
        <v>0</v>
      </c>
      <c r="Y2322" s="1">
        <v>0</v>
      </c>
      <c r="Z2322" s="1">
        <v>0</v>
      </c>
      <c r="AA2322" s="1">
        <v>0</v>
      </c>
      <c r="AB2322" s="1">
        <v>0</v>
      </c>
      <c r="AC2322" s="1">
        <v>0</v>
      </c>
      <c r="AD2322" s="1">
        <v>0</v>
      </c>
    </row>
    <row r="2323" spans="1:30" s="20" customFormat="1" ht="36" customHeight="1" x14ac:dyDescent="0.25">
      <c r="A2323" s="2">
        <f t="shared" si="1290"/>
        <v>2241</v>
      </c>
      <c r="B2323" s="3">
        <f t="shared" si="1295"/>
        <v>2241</v>
      </c>
      <c r="C2323" s="19" t="s">
        <v>1399</v>
      </c>
      <c r="D2323" s="4">
        <f t="shared" si="1299"/>
        <v>2329141.2000000002</v>
      </c>
      <c r="E2323" s="1">
        <f t="shared" si="1291"/>
        <v>696291.2</v>
      </c>
      <c r="F2323" s="1">
        <f>804*419.2</f>
        <v>337036.79999999999</v>
      </c>
      <c r="G2323" s="1">
        <v>0</v>
      </c>
      <c r="H2323" s="1">
        <f>390*419.2</f>
        <v>163488</v>
      </c>
      <c r="I2323" s="1">
        <v>0</v>
      </c>
      <c r="J2323" s="1">
        <f>467*419.2</f>
        <v>195766.39999999999</v>
      </c>
      <c r="K2323" s="1">
        <v>0</v>
      </c>
      <c r="L2323" s="2">
        <v>0</v>
      </c>
      <c r="M2323" s="1">
        <v>0</v>
      </c>
      <c r="N2323" s="1">
        <v>0</v>
      </c>
      <c r="O2323" s="1">
        <v>0</v>
      </c>
      <c r="P2323" s="1">
        <v>50</v>
      </c>
      <c r="Q2323" s="1">
        <f t="shared" si="1292"/>
        <v>70000</v>
      </c>
      <c r="R2323" s="1">
        <v>350</v>
      </c>
      <c r="S2323" s="1">
        <f t="shared" si="1293"/>
        <v>1312850</v>
      </c>
      <c r="T2323" s="1">
        <v>150000</v>
      </c>
      <c r="U2323" s="1">
        <v>50000</v>
      </c>
      <c r="V2323" s="1">
        <v>0</v>
      </c>
      <c r="W2323" s="1">
        <v>50000</v>
      </c>
      <c r="X2323" s="1">
        <v>0</v>
      </c>
      <c r="Y2323" s="1">
        <v>0</v>
      </c>
      <c r="Z2323" s="1">
        <v>0</v>
      </c>
      <c r="AA2323" s="1">
        <v>0</v>
      </c>
      <c r="AB2323" s="1">
        <v>0</v>
      </c>
      <c r="AC2323" s="1">
        <v>0</v>
      </c>
      <c r="AD2323" s="1">
        <v>0</v>
      </c>
    </row>
    <row r="2324" spans="1:30" s="20" customFormat="1" ht="36" customHeight="1" x14ac:dyDescent="0.25">
      <c r="A2324" s="2">
        <f t="shared" si="1290"/>
        <v>2242</v>
      </c>
      <c r="B2324" s="3">
        <f t="shared" ref="B2324" si="1300">A2324</f>
        <v>2242</v>
      </c>
      <c r="C2324" s="19" t="s">
        <v>1783</v>
      </c>
      <c r="D2324" s="4">
        <f t="shared" si="1299"/>
        <v>4342322</v>
      </c>
      <c r="E2324" s="1">
        <f t="shared" ref="E2324" si="1301">SUM(F2324:K2324)</f>
        <v>867042</v>
      </c>
      <c r="F2324" s="1">
        <f>804*522</f>
        <v>419688</v>
      </c>
      <c r="G2324" s="1">
        <v>0</v>
      </c>
      <c r="H2324" s="1">
        <f>390*522</f>
        <v>203580</v>
      </c>
      <c r="I2324" s="1">
        <v>0</v>
      </c>
      <c r="J2324" s="1">
        <f>467*522</f>
        <v>243774</v>
      </c>
      <c r="K2324" s="1">
        <v>0</v>
      </c>
      <c r="L2324" s="2">
        <v>0</v>
      </c>
      <c r="M2324" s="1">
        <v>0</v>
      </c>
      <c r="N2324" s="1">
        <v>300</v>
      </c>
      <c r="O2324" s="1">
        <f t="shared" ref="O2324:O2330" si="1302">N2324*7750</f>
        <v>2325000</v>
      </c>
      <c r="P2324" s="1">
        <v>0</v>
      </c>
      <c r="Q2324" s="1">
        <f t="shared" ref="Q2324" si="1303">P2324*1400</f>
        <v>0</v>
      </c>
      <c r="R2324" s="1">
        <v>280</v>
      </c>
      <c r="S2324" s="1">
        <f t="shared" ref="S2324" si="1304">R2324*3751</f>
        <v>1050280</v>
      </c>
      <c r="T2324" s="1">
        <v>0</v>
      </c>
      <c r="U2324" s="1">
        <v>50000</v>
      </c>
      <c r="V2324" s="1">
        <v>0</v>
      </c>
      <c r="W2324" s="1">
        <v>50000</v>
      </c>
      <c r="X2324" s="1">
        <v>0</v>
      </c>
      <c r="Y2324" s="1">
        <v>0</v>
      </c>
      <c r="Z2324" s="1">
        <v>0</v>
      </c>
      <c r="AA2324" s="1">
        <v>0</v>
      </c>
      <c r="AB2324" s="1">
        <v>0</v>
      </c>
      <c r="AC2324" s="1">
        <v>0</v>
      </c>
      <c r="AD2324" s="1">
        <v>0</v>
      </c>
    </row>
    <row r="2325" spans="1:30" s="20" customFormat="1" ht="36" customHeight="1" x14ac:dyDescent="0.25">
      <c r="A2325" s="2">
        <f t="shared" si="1290"/>
        <v>2243</v>
      </c>
      <c r="B2325" s="3">
        <f t="shared" ref="B2325" si="1305">A2325</f>
        <v>2243</v>
      </c>
      <c r="C2325" s="19" t="s">
        <v>1784</v>
      </c>
      <c r="D2325" s="4">
        <f t="shared" si="1299"/>
        <v>4571540</v>
      </c>
      <c r="E2325" s="1">
        <f t="shared" ref="E2325" si="1306">SUM(F2325:K2325)</f>
        <v>1096260</v>
      </c>
      <c r="F2325" s="1">
        <f>804*660</f>
        <v>530640</v>
      </c>
      <c r="G2325" s="1">
        <v>0</v>
      </c>
      <c r="H2325" s="1">
        <f>390*660</f>
        <v>257400</v>
      </c>
      <c r="I2325" s="1">
        <v>0</v>
      </c>
      <c r="J2325" s="1">
        <f>467*660</f>
        <v>308220</v>
      </c>
      <c r="K2325" s="1">
        <v>0</v>
      </c>
      <c r="L2325" s="2">
        <v>0</v>
      </c>
      <c r="M2325" s="1">
        <v>0</v>
      </c>
      <c r="N2325" s="1">
        <v>300</v>
      </c>
      <c r="O2325" s="1">
        <f t="shared" si="1302"/>
        <v>2325000</v>
      </c>
      <c r="P2325" s="1">
        <v>0</v>
      </c>
      <c r="Q2325" s="1">
        <f t="shared" ref="Q2325" si="1307">P2325*1400</f>
        <v>0</v>
      </c>
      <c r="R2325" s="1">
        <v>280</v>
      </c>
      <c r="S2325" s="1">
        <f t="shared" ref="S2325" si="1308">R2325*3751</f>
        <v>1050280</v>
      </c>
      <c r="T2325" s="1">
        <v>0</v>
      </c>
      <c r="U2325" s="1">
        <v>50000</v>
      </c>
      <c r="V2325" s="1">
        <v>0</v>
      </c>
      <c r="W2325" s="1">
        <v>50000</v>
      </c>
      <c r="X2325" s="1">
        <v>0</v>
      </c>
      <c r="Y2325" s="1">
        <v>0</v>
      </c>
      <c r="Z2325" s="1">
        <v>0</v>
      </c>
      <c r="AA2325" s="1">
        <v>0</v>
      </c>
      <c r="AB2325" s="1">
        <v>0</v>
      </c>
      <c r="AC2325" s="1">
        <v>0</v>
      </c>
      <c r="AD2325" s="1">
        <v>0</v>
      </c>
    </row>
    <row r="2326" spans="1:30" s="20" customFormat="1" ht="36" customHeight="1" x14ac:dyDescent="0.25">
      <c r="A2326" s="2">
        <f t="shared" si="1290"/>
        <v>2244</v>
      </c>
      <c r="B2326" s="3">
        <f t="shared" ref="B2326" si="1309">A2326</f>
        <v>2244</v>
      </c>
      <c r="C2326" s="19" t="s">
        <v>2559</v>
      </c>
      <c r="D2326" s="4">
        <f t="shared" si="1299"/>
        <v>4309102</v>
      </c>
      <c r="E2326" s="1">
        <f t="shared" ref="E2326" si="1310">SUM(F2326:K2326)</f>
        <v>833822</v>
      </c>
      <c r="F2326" s="1">
        <f>804*502</f>
        <v>403608</v>
      </c>
      <c r="G2326" s="1">
        <v>0</v>
      </c>
      <c r="H2326" s="1">
        <f>390*502</f>
        <v>195780</v>
      </c>
      <c r="I2326" s="1">
        <v>0</v>
      </c>
      <c r="J2326" s="1">
        <f>467*502</f>
        <v>234434</v>
      </c>
      <c r="K2326" s="1">
        <v>0</v>
      </c>
      <c r="L2326" s="2">
        <v>0</v>
      </c>
      <c r="M2326" s="1">
        <v>0</v>
      </c>
      <c r="N2326" s="1">
        <v>300</v>
      </c>
      <c r="O2326" s="1">
        <f t="shared" si="1302"/>
        <v>2325000</v>
      </c>
      <c r="P2326" s="1">
        <v>0</v>
      </c>
      <c r="Q2326" s="1">
        <f t="shared" ref="Q2326" si="1311">P2326*1400</f>
        <v>0</v>
      </c>
      <c r="R2326" s="1">
        <v>280</v>
      </c>
      <c r="S2326" s="1">
        <f t="shared" ref="S2326" si="1312">R2326*3751</f>
        <v>1050280</v>
      </c>
      <c r="T2326" s="1">
        <v>0</v>
      </c>
      <c r="U2326" s="1">
        <v>50000</v>
      </c>
      <c r="V2326" s="1">
        <v>0</v>
      </c>
      <c r="W2326" s="1">
        <v>50000</v>
      </c>
      <c r="X2326" s="1">
        <v>0</v>
      </c>
      <c r="Y2326" s="1">
        <v>0</v>
      </c>
      <c r="Z2326" s="1">
        <v>0</v>
      </c>
      <c r="AA2326" s="1">
        <v>0</v>
      </c>
      <c r="AB2326" s="1">
        <v>0</v>
      </c>
      <c r="AC2326" s="1">
        <v>0</v>
      </c>
      <c r="AD2326" s="1">
        <v>0</v>
      </c>
    </row>
    <row r="2327" spans="1:30" s="20" customFormat="1" ht="36" customHeight="1" x14ac:dyDescent="0.25">
      <c r="A2327" s="2">
        <f t="shared" si="1290"/>
        <v>2245</v>
      </c>
      <c r="B2327" s="3">
        <f t="shared" ref="B2327:B2328" si="1313">A2327</f>
        <v>2245</v>
      </c>
      <c r="C2327" s="19" t="s">
        <v>1785</v>
      </c>
      <c r="D2327" s="4">
        <f t="shared" si="1299"/>
        <v>4891849.8</v>
      </c>
      <c r="E2327" s="1">
        <f t="shared" ref="E2327:E2328" si="1314">SUM(F2327:K2327)</f>
        <v>916539.79999999993</v>
      </c>
      <c r="F2327" s="1">
        <f>804*551.8</f>
        <v>443647.19999999995</v>
      </c>
      <c r="G2327" s="1">
        <v>0</v>
      </c>
      <c r="H2327" s="1">
        <f>390*551.8</f>
        <v>215201.99999999997</v>
      </c>
      <c r="I2327" s="1">
        <v>0</v>
      </c>
      <c r="J2327" s="1">
        <f>467*551.8</f>
        <v>257690.59999999998</v>
      </c>
      <c r="K2327" s="1">
        <v>0</v>
      </c>
      <c r="L2327" s="2">
        <v>0</v>
      </c>
      <c r="M2327" s="1">
        <v>0</v>
      </c>
      <c r="N2327" s="1">
        <v>350</v>
      </c>
      <c r="O2327" s="1">
        <f t="shared" si="1302"/>
        <v>2712500</v>
      </c>
      <c r="P2327" s="1">
        <v>0</v>
      </c>
      <c r="Q2327" s="1">
        <f t="shared" ref="Q2327:Q2328" si="1315">P2327*1400</f>
        <v>0</v>
      </c>
      <c r="R2327" s="1">
        <v>310</v>
      </c>
      <c r="S2327" s="1">
        <f t="shared" ref="S2327:S2328" si="1316">R2327*3751</f>
        <v>1162810</v>
      </c>
      <c r="T2327" s="1">
        <v>0</v>
      </c>
      <c r="U2327" s="1">
        <v>50000</v>
      </c>
      <c r="V2327" s="1">
        <v>0</v>
      </c>
      <c r="W2327" s="1">
        <v>50000</v>
      </c>
      <c r="X2327" s="1">
        <v>0</v>
      </c>
      <c r="Y2327" s="1">
        <v>0</v>
      </c>
      <c r="Z2327" s="1">
        <v>0</v>
      </c>
      <c r="AA2327" s="1">
        <v>0</v>
      </c>
      <c r="AB2327" s="1">
        <v>0</v>
      </c>
      <c r="AC2327" s="1">
        <v>0</v>
      </c>
      <c r="AD2327" s="1">
        <v>0</v>
      </c>
    </row>
    <row r="2328" spans="1:30" s="20" customFormat="1" ht="36" customHeight="1" x14ac:dyDescent="0.25">
      <c r="A2328" s="2">
        <f t="shared" si="1290"/>
        <v>2246</v>
      </c>
      <c r="B2328" s="6">
        <f t="shared" si="1313"/>
        <v>2246</v>
      </c>
      <c r="C2328" s="19" t="s">
        <v>2148</v>
      </c>
      <c r="D2328" s="4">
        <f>E2328+M2328+O2328+Q2328+S2328+T2328+U2328+V2328+X2328+W2328+Z2328+AA2328+AB2328+AC2328+AD2328</f>
        <v>2417094.2000000002</v>
      </c>
      <c r="E2328" s="1">
        <f t="shared" si="1314"/>
        <v>397819.2</v>
      </c>
      <c r="F2328" s="1">
        <f>804*494.8</f>
        <v>397819.2</v>
      </c>
      <c r="G2328" s="1">
        <v>0</v>
      </c>
      <c r="H2328" s="1">
        <v>0</v>
      </c>
      <c r="I2328" s="1">
        <v>0</v>
      </c>
      <c r="J2328" s="1">
        <v>0</v>
      </c>
      <c r="K2328" s="1">
        <v>0</v>
      </c>
      <c r="L2328" s="2">
        <v>0</v>
      </c>
      <c r="M2328" s="1">
        <v>0</v>
      </c>
      <c r="N2328" s="1">
        <v>0</v>
      </c>
      <c r="O2328" s="1">
        <v>0</v>
      </c>
      <c r="P2328" s="1">
        <v>0</v>
      </c>
      <c r="Q2328" s="1">
        <f t="shared" si="1315"/>
        <v>0</v>
      </c>
      <c r="R2328" s="1">
        <v>525</v>
      </c>
      <c r="S2328" s="1">
        <f t="shared" si="1316"/>
        <v>1969275</v>
      </c>
      <c r="T2328" s="1">
        <v>0</v>
      </c>
      <c r="U2328" s="1">
        <v>50000</v>
      </c>
      <c r="V2328" s="1">
        <v>0</v>
      </c>
      <c r="W2328" s="1">
        <v>0</v>
      </c>
      <c r="X2328" s="1">
        <v>0</v>
      </c>
      <c r="Y2328" s="1">
        <v>0</v>
      </c>
      <c r="Z2328" s="1">
        <v>0</v>
      </c>
      <c r="AA2328" s="1">
        <v>0</v>
      </c>
      <c r="AB2328" s="1">
        <v>0</v>
      </c>
      <c r="AC2328" s="1">
        <v>0</v>
      </c>
      <c r="AD2328" s="1">
        <v>0</v>
      </c>
    </row>
    <row r="2329" spans="1:30" s="20" customFormat="1" ht="36" customHeight="1" x14ac:dyDescent="0.25">
      <c r="A2329" s="2">
        <f t="shared" si="1290"/>
        <v>2247</v>
      </c>
      <c r="B2329" s="3">
        <f t="shared" si="1295"/>
        <v>2247</v>
      </c>
      <c r="C2329" s="19" t="s">
        <v>1401</v>
      </c>
      <c r="D2329" s="4">
        <f>E2329+M2329+O2329+Q2329+S2329+T2329+U2329+V2329+W2329+X2329+Z2329+AA2329+AB2329+AC2329+AD2329</f>
        <v>7148769.5</v>
      </c>
      <c r="E2329" s="1">
        <f t="shared" si="1291"/>
        <v>646959.5</v>
      </c>
      <c r="F2329" s="1">
        <f>804*389.5</f>
        <v>313158</v>
      </c>
      <c r="G2329" s="1">
        <v>0</v>
      </c>
      <c r="H2329" s="1">
        <f>390*389.5</f>
        <v>151905</v>
      </c>
      <c r="I2329" s="1">
        <v>0</v>
      </c>
      <c r="J2329" s="1">
        <f>467*389.5</f>
        <v>181896.5</v>
      </c>
      <c r="K2329" s="1">
        <v>0</v>
      </c>
      <c r="L2329" s="2">
        <v>0</v>
      </c>
      <c r="M2329" s="1">
        <v>0</v>
      </c>
      <c r="N2329" s="1">
        <v>555</v>
      </c>
      <c r="O2329" s="1">
        <f t="shared" si="1302"/>
        <v>4301250</v>
      </c>
      <c r="P2329" s="1">
        <v>0</v>
      </c>
      <c r="Q2329" s="1">
        <f t="shared" si="1292"/>
        <v>0</v>
      </c>
      <c r="R2329" s="1">
        <v>560</v>
      </c>
      <c r="S2329" s="1">
        <f t="shared" si="1293"/>
        <v>2100560</v>
      </c>
      <c r="T2329" s="1">
        <v>0</v>
      </c>
      <c r="U2329" s="1">
        <v>50000</v>
      </c>
      <c r="V2329" s="1">
        <v>0</v>
      </c>
      <c r="W2329" s="1">
        <v>50000</v>
      </c>
      <c r="X2329" s="1">
        <v>0</v>
      </c>
      <c r="Y2329" s="1">
        <v>0</v>
      </c>
      <c r="Z2329" s="1">
        <v>0</v>
      </c>
      <c r="AA2329" s="1">
        <v>0</v>
      </c>
      <c r="AB2329" s="1">
        <v>0</v>
      </c>
      <c r="AC2329" s="1">
        <v>0</v>
      </c>
      <c r="AD2329" s="1">
        <v>0</v>
      </c>
    </row>
    <row r="2330" spans="1:30" s="20" customFormat="1" ht="36" customHeight="1" x14ac:dyDescent="0.25">
      <c r="A2330" s="2">
        <f t="shared" si="1290"/>
        <v>2248</v>
      </c>
      <c r="B2330" s="3">
        <f t="shared" si="1295"/>
        <v>2248</v>
      </c>
      <c r="C2330" s="19" t="s">
        <v>1402</v>
      </c>
      <c r="D2330" s="4">
        <f>E2330+M2330+O2330+Q2330+S2330+T2330+U2330+V2330+W2330+X2330+Z2330+AA2330+AB2330+AC2330+AD2330</f>
        <v>5546938.2999999998</v>
      </c>
      <c r="E2330" s="1">
        <f t="shared" si="1291"/>
        <v>691474.3</v>
      </c>
      <c r="F2330" s="1">
        <f>804*416.3</f>
        <v>334705.2</v>
      </c>
      <c r="G2330" s="1">
        <v>0</v>
      </c>
      <c r="H2330" s="1">
        <f>390*416.3</f>
        <v>162357</v>
      </c>
      <c r="I2330" s="1">
        <v>0</v>
      </c>
      <c r="J2330" s="1">
        <f>467*416.3</f>
        <v>194412.1</v>
      </c>
      <c r="K2330" s="1">
        <v>0</v>
      </c>
      <c r="L2330" s="2">
        <v>0</v>
      </c>
      <c r="M2330" s="1">
        <v>0</v>
      </c>
      <c r="N2330" s="1">
        <v>380</v>
      </c>
      <c r="O2330" s="1">
        <f t="shared" si="1302"/>
        <v>2945000</v>
      </c>
      <c r="P2330" s="1">
        <v>50</v>
      </c>
      <c r="Q2330" s="1">
        <f t="shared" si="1292"/>
        <v>70000</v>
      </c>
      <c r="R2330" s="1">
        <v>464</v>
      </c>
      <c r="S2330" s="1">
        <f t="shared" si="1293"/>
        <v>1740464</v>
      </c>
      <c r="T2330" s="1">
        <v>0</v>
      </c>
      <c r="U2330" s="1">
        <v>50000</v>
      </c>
      <c r="V2330" s="1">
        <v>0</v>
      </c>
      <c r="W2330" s="1">
        <v>50000</v>
      </c>
      <c r="X2330" s="1">
        <v>0</v>
      </c>
      <c r="Y2330" s="1">
        <v>0</v>
      </c>
      <c r="Z2330" s="1">
        <v>0</v>
      </c>
      <c r="AA2330" s="1">
        <v>0</v>
      </c>
      <c r="AB2330" s="1">
        <v>0</v>
      </c>
      <c r="AC2330" s="1">
        <v>0</v>
      </c>
      <c r="AD2330" s="1">
        <v>0</v>
      </c>
    </row>
    <row r="2331" spans="1:30" s="20" customFormat="1" ht="36" customHeight="1" x14ac:dyDescent="0.25">
      <c r="A2331" s="2">
        <f t="shared" si="1290"/>
        <v>2249</v>
      </c>
      <c r="B2331" s="3">
        <f>A2331</f>
        <v>2249</v>
      </c>
      <c r="C2331" s="19" t="s">
        <v>1400</v>
      </c>
      <c r="D2331" s="4">
        <f>E2331+M2331+O2331+Q2331+S2331+T2331+U2331+V2331+W2331+X2331+Z2331+AA2331+AB2331+AC2331+AD2331</f>
        <v>5827640.7999999998</v>
      </c>
      <c r="E2331" s="1">
        <f>SUM(F2331:K2331)</f>
        <v>1421089.7999999998</v>
      </c>
      <c r="F2331" s="1">
        <f>804*423.7</f>
        <v>340654.8</v>
      </c>
      <c r="G2331" s="1">
        <f>1693*423.7</f>
        <v>717324.1</v>
      </c>
      <c r="H2331" s="1">
        <f>390*423.7</f>
        <v>165243</v>
      </c>
      <c r="I2331" s="1">
        <v>0</v>
      </c>
      <c r="J2331" s="1">
        <f>467*423.7</f>
        <v>197867.9</v>
      </c>
      <c r="K2331" s="1">
        <v>0</v>
      </c>
      <c r="L2331" s="2">
        <v>0</v>
      </c>
      <c r="M2331" s="1">
        <v>0</v>
      </c>
      <c r="N2331" s="1">
        <v>410</v>
      </c>
      <c r="O2331" s="1">
        <f>N2331*7750</f>
        <v>3177500</v>
      </c>
      <c r="P2331" s="1">
        <v>0</v>
      </c>
      <c r="Q2331" s="1">
        <f>P2331*1400</f>
        <v>0</v>
      </c>
      <c r="R2331" s="1">
        <v>301</v>
      </c>
      <c r="S2331" s="1">
        <f>R2331*3751</f>
        <v>1129051</v>
      </c>
      <c r="T2331" s="1">
        <v>0</v>
      </c>
      <c r="U2331" s="1">
        <v>50000</v>
      </c>
      <c r="V2331" s="1">
        <v>0</v>
      </c>
      <c r="W2331" s="1">
        <v>50000</v>
      </c>
      <c r="X2331" s="1">
        <v>0</v>
      </c>
      <c r="Y2331" s="1">
        <v>0</v>
      </c>
      <c r="Z2331" s="1">
        <v>0</v>
      </c>
      <c r="AA2331" s="1">
        <v>0</v>
      </c>
      <c r="AB2331" s="1">
        <v>0</v>
      </c>
      <c r="AC2331" s="1">
        <v>0</v>
      </c>
      <c r="AD2331" s="1">
        <v>0</v>
      </c>
    </row>
    <row r="2332" spans="1:30" s="20" customFormat="1" ht="36" customHeight="1" x14ac:dyDescent="0.25">
      <c r="A2332" s="2">
        <f t="shared" si="1290"/>
        <v>2250</v>
      </c>
      <c r="B2332" s="6">
        <f t="shared" si="1295"/>
        <v>2250</v>
      </c>
      <c r="C2332" s="19" t="s">
        <v>2150</v>
      </c>
      <c r="D2332" s="4">
        <f>E2332+M2332+O2332+Q2332+S2332+T2332+U2332+V2332+X2332+W2332+Z2332+AA2332+AB2332+AC2332+AD2332</f>
        <v>1537910</v>
      </c>
      <c r="E2332" s="1">
        <f t="shared" si="1291"/>
        <v>0</v>
      </c>
      <c r="F2332" s="1">
        <v>0</v>
      </c>
      <c r="G2332" s="1">
        <v>0</v>
      </c>
      <c r="H2332" s="1">
        <v>0</v>
      </c>
      <c r="I2332" s="1">
        <v>0</v>
      </c>
      <c r="J2332" s="1">
        <v>0</v>
      </c>
      <c r="K2332" s="1">
        <v>0</v>
      </c>
      <c r="L2332" s="2">
        <v>0</v>
      </c>
      <c r="M2332" s="1">
        <v>0</v>
      </c>
      <c r="N2332" s="1">
        <v>0</v>
      </c>
      <c r="O2332" s="1">
        <v>0</v>
      </c>
      <c r="P2332" s="1">
        <v>0</v>
      </c>
      <c r="Q2332" s="1">
        <f t="shared" si="1292"/>
        <v>0</v>
      </c>
      <c r="R2332" s="1">
        <v>410</v>
      </c>
      <c r="S2332" s="1">
        <f t="shared" si="1293"/>
        <v>1537910</v>
      </c>
      <c r="T2332" s="1">
        <v>0</v>
      </c>
      <c r="U2332" s="1">
        <v>0</v>
      </c>
      <c r="V2332" s="1">
        <v>0</v>
      </c>
      <c r="W2332" s="1">
        <v>0</v>
      </c>
      <c r="X2332" s="1">
        <v>0</v>
      </c>
      <c r="Y2332" s="1">
        <v>0</v>
      </c>
      <c r="Z2332" s="1">
        <v>0</v>
      </c>
      <c r="AA2332" s="1">
        <v>0</v>
      </c>
      <c r="AB2332" s="1">
        <v>0</v>
      </c>
      <c r="AC2332" s="1">
        <v>0</v>
      </c>
      <c r="AD2332" s="1">
        <v>0</v>
      </c>
    </row>
    <row r="2333" spans="1:30" s="20" customFormat="1" ht="54.95" customHeight="1" x14ac:dyDescent="0.25">
      <c r="A2333" s="3"/>
      <c r="B2333" s="47" t="s">
        <v>1981</v>
      </c>
      <c r="C2333" s="48"/>
      <c r="D2333" s="4">
        <f>SUM(D2334:D2615)</f>
        <v>6715315132.4199991</v>
      </c>
      <c r="E2333" s="4">
        <f t="shared" ref="E2333:AD2333" si="1317">SUM(E2334:E2615)</f>
        <v>3728635307.1200004</v>
      </c>
      <c r="F2333" s="4">
        <f t="shared" si="1317"/>
        <v>771509893.67999983</v>
      </c>
      <c r="G2333" s="4">
        <f t="shared" si="1317"/>
        <v>1608225479.8499994</v>
      </c>
      <c r="H2333" s="4">
        <f t="shared" si="1317"/>
        <v>373144441.80000007</v>
      </c>
      <c r="I2333" s="4">
        <f t="shared" si="1317"/>
        <v>529109070.35000002</v>
      </c>
      <c r="J2333" s="4">
        <f t="shared" si="1317"/>
        <v>446646421.43999976</v>
      </c>
      <c r="K2333" s="4">
        <f t="shared" si="1317"/>
        <v>0</v>
      </c>
      <c r="L2333" s="17">
        <f t="shared" si="1317"/>
        <v>79</v>
      </c>
      <c r="M2333" s="4">
        <f t="shared" si="1317"/>
        <v>276500000</v>
      </c>
      <c r="N2333" s="4">
        <f t="shared" si="1317"/>
        <v>182359</v>
      </c>
      <c r="O2333" s="4">
        <f t="shared" si="1317"/>
        <v>1044489202</v>
      </c>
      <c r="P2333" s="4">
        <f t="shared" si="1317"/>
        <v>150</v>
      </c>
      <c r="Q2333" s="4">
        <f t="shared" si="1317"/>
        <v>210000</v>
      </c>
      <c r="R2333" s="4">
        <f t="shared" si="1317"/>
        <v>436998.3</v>
      </c>
      <c r="S2333" s="4">
        <f t="shared" si="1317"/>
        <v>1639180623.3</v>
      </c>
      <c r="T2333" s="4">
        <f t="shared" si="1317"/>
        <v>150000</v>
      </c>
      <c r="U2333" s="4">
        <f t="shared" si="1317"/>
        <v>17200000</v>
      </c>
      <c r="V2333" s="4">
        <f t="shared" si="1317"/>
        <v>0</v>
      </c>
      <c r="W2333" s="4">
        <f t="shared" si="1317"/>
        <v>8950000</v>
      </c>
      <c r="X2333" s="4">
        <f t="shared" si="1317"/>
        <v>0</v>
      </c>
      <c r="Y2333" s="4">
        <f t="shared" si="1317"/>
        <v>0</v>
      </c>
      <c r="Z2333" s="4">
        <f t="shared" si="1317"/>
        <v>0</v>
      </c>
      <c r="AA2333" s="4">
        <f t="shared" si="1317"/>
        <v>0</v>
      </c>
      <c r="AB2333" s="4">
        <f t="shared" si="1317"/>
        <v>0</v>
      </c>
      <c r="AC2333" s="4">
        <f t="shared" si="1317"/>
        <v>0</v>
      </c>
      <c r="AD2333" s="4">
        <f t="shared" si="1317"/>
        <v>0</v>
      </c>
    </row>
    <row r="2334" spans="1:30" s="20" customFormat="1" ht="36" customHeight="1" x14ac:dyDescent="0.25">
      <c r="A2334" s="2">
        <f>ROW()-ROW($A$11)-72</f>
        <v>2251</v>
      </c>
      <c r="B2334" s="6">
        <f t="shared" ref="B2334" si="1318">A2334</f>
        <v>2251</v>
      </c>
      <c r="C2334" s="19" t="s">
        <v>816</v>
      </c>
      <c r="D2334" s="4">
        <f>E2334+M2334+O2334+Q2334+S2334+T2334+U2334+V2334+X2334+W2334+Z2334+AA2334+AB2334+AC2334+AD2334</f>
        <v>10879958.68</v>
      </c>
      <c r="E2334" s="1">
        <f t="shared" ref="E2334" si="1319">SUM(F2334:K2334)</f>
        <v>2671192.6799999997</v>
      </c>
      <c r="F2334" s="1">
        <f>804*796.42</f>
        <v>640321.67999999993</v>
      </c>
      <c r="G2334" s="1">
        <f>1693*796.42</f>
        <v>1348339.0599999998</v>
      </c>
      <c r="H2334" s="1">
        <f>390*796.42</f>
        <v>310603.8</v>
      </c>
      <c r="I2334" s="1">
        <v>0</v>
      </c>
      <c r="J2334" s="1">
        <f>467*796.42</f>
        <v>371928.13999999996</v>
      </c>
      <c r="K2334" s="1">
        <v>0</v>
      </c>
      <c r="L2334" s="2">
        <v>0</v>
      </c>
      <c r="M2334" s="1">
        <v>0</v>
      </c>
      <c r="N2334" s="1">
        <v>682</v>
      </c>
      <c r="O2334" s="1">
        <f>N2334*7750</f>
        <v>5285500</v>
      </c>
      <c r="P2334" s="1">
        <v>0</v>
      </c>
      <c r="Q2334" s="1">
        <f t="shared" ref="Q2334" si="1320">P2334*1400</f>
        <v>0</v>
      </c>
      <c r="R2334" s="1">
        <v>766</v>
      </c>
      <c r="S2334" s="1">
        <f t="shared" ref="S2334" si="1321">R2334*3751</f>
        <v>2873266</v>
      </c>
      <c r="T2334" s="1">
        <v>0</v>
      </c>
      <c r="U2334" s="1">
        <v>50000</v>
      </c>
      <c r="V2334" s="1">
        <v>0</v>
      </c>
      <c r="W2334" s="1">
        <v>0</v>
      </c>
      <c r="X2334" s="1">
        <v>0</v>
      </c>
      <c r="Y2334" s="1">
        <v>0</v>
      </c>
      <c r="Z2334" s="1">
        <v>0</v>
      </c>
      <c r="AA2334" s="1">
        <v>0</v>
      </c>
      <c r="AB2334" s="1">
        <v>0</v>
      </c>
      <c r="AC2334" s="1">
        <v>0</v>
      </c>
      <c r="AD2334" s="1">
        <v>0</v>
      </c>
    </row>
    <row r="2335" spans="1:30" s="20" customFormat="1" ht="36" customHeight="1" x14ac:dyDescent="0.25">
      <c r="A2335" s="2">
        <f t="shared" ref="A2335:A2391" si="1322">ROW()-ROW($A$11)-72</f>
        <v>2252</v>
      </c>
      <c r="B2335" s="3">
        <f t="shared" si="1295"/>
        <v>2252</v>
      </c>
      <c r="C2335" s="19" t="s">
        <v>1403</v>
      </c>
      <c r="D2335" s="4">
        <f>E2335+M2335+O2335+Q2335+S2335+T2335+U2335+V2335+W2335+X2335+Z2335+AA2335+AB2335+AC2335+AD2335</f>
        <v>38143900</v>
      </c>
      <c r="E2335" s="1">
        <f t="shared" ref="E2335:E2355" si="1323">SUM(F2335:K2335)</f>
        <v>20545020</v>
      </c>
      <c r="F2335" s="1">
        <f>804*5234.4</f>
        <v>4208457.5999999996</v>
      </c>
      <c r="G2335" s="1">
        <f>1693*5234.4</f>
        <v>8861839.1999999993</v>
      </c>
      <c r="H2335" s="1">
        <f>390*5234.4</f>
        <v>2041415.9999999998</v>
      </c>
      <c r="I2335" s="1">
        <f>571*5234.4</f>
        <v>2988842.4</v>
      </c>
      <c r="J2335" s="1">
        <f>467*5234.4</f>
        <v>2444464.7999999998</v>
      </c>
      <c r="K2335" s="1">
        <v>0</v>
      </c>
      <c r="L2335" s="2">
        <v>0</v>
      </c>
      <c r="M2335" s="1">
        <v>0</v>
      </c>
      <c r="N2335" s="1">
        <v>1227</v>
      </c>
      <c r="O2335" s="1">
        <f>N2335*7750</f>
        <v>9509250</v>
      </c>
      <c r="P2335" s="1">
        <v>0</v>
      </c>
      <c r="Q2335" s="1">
        <f t="shared" ref="Q2335:Q2380" si="1324">P2335*1400</f>
        <v>0</v>
      </c>
      <c r="R2335" s="1">
        <v>2130</v>
      </c>
      <c r="S2335" s="1">
        <f t="shared" ref="S2335:S2433" si="1325">R2335*3751</f>
        <v>7989630</v>
      </c>
      <c r="T2335" s="1">
        <v>0</v>
      </c>
      <c r="U2335" s="1">
        <v>50000</v>
      </c>
      <c r="V2335" s="1">
        <v>0</v>
      </c>
      <c r="W2335" s="1">
        <v>50000</v>
      </c>
      <c r="X2335" s="1">
        <v>0</v>
      </c>
      <c r="Y2335" s="1">
        <v>0</v>
      </c>
      <c r="Z2335" s="1">
        <v>0</v>
      </c>
      <c r="AA2335" s="1">
        <v>0</v>
      </c>
      <c r="AB2335" s="1">
        <v>0</v>
      </c>
      <c r="AC2335" s="1">
        <v>0</v>
      </c>
      <c r="AD2335" s="1">
        <v>0</v>
      </c>
    </row>
    <row r="2336" spans="1:30" s="20" customFormat="1" ht="36" customHeight="1" x14ac:dyDescent="0.25">
      <c r="A2336" s="2">
        <f t="shared" si="1322"/>
        <v>2253</v>
      </c>
      <c r="B2336" s="3">
        <f t="shared" si="1295"/>
        <v>2253</v>
      </c>
      <c r="C2336" s="19" t="s">
        <v>1404</v>
      </c>
      <c r="D2336" s="4">
        <f>E2336+M2336+O2336+Q2336+S2336+T2336+U2336+V2336+W2336+X2336+Z2336+AA2336+AB2336+AC2336+AD2336</f>
        <v>37176282.5</v>
      </c>
      <c r="E2336" s="1">
        <f t="shared" si="1323"/>
        <v>20360152.500000004</v>
      </c>
      <c r="F2336" s="1">
        <f>804*5187.3</f>
        <v>4170589.2</v>
      </c>
      <c r="G2336" s="1">
        <f>1693*5187.3</f>
        <v>8782098.9000000004</v>
      </c>
      <c r="H2336" s="1">
        <f>390*5187.3</f>
        <v>2023047</v>
      </c>
      <c r="I2336" s="1">
        <f>571*5187.3</f>
        <v>2961948.3000000003</v>
      </c>
      <c r="J2336" s="1">
        <f>467*5187.3</f>
        <v>2422469.1</v>
      </c>
      <c r="K2336" s="1">
        <v>0</v>
      </c>
      <c r="L2336" s="2">
        <v>0</v>
      </c>
      <c r="M2336" s="1">
        <v>0</v>
      </c>
      <c r="N2336" s="1">
        <v>1126</v>
      </c>
      <c r="O2336" s="1">
        <f>N2336*7750</f>
        <v>8726500</v>
      </c>
      <c r="P2336" s="1">
        <v>0</v>
      </c>
      <c r="Q2336" s="1">
        <f t="shared" si="1324"/>
        <v>0</v>
      </c>
      <c r="R2336" s="1">
        <v>2130</v>
      </c>
      <c r="S2336" s="1">
        <f t="shared" si="1325"/>
        <v>7989630</v>
      </c>
      <c r="T2336" s="1">
        <v>0</v>
      </c>
      <c r="U2336" s="1">
        <v>50000</v>
      </c>
      <c r="V2336" s="1">
        <v>0</v>
      </c>
      <c r="W2336" s="1">
        <v>50000</v>
      </c>
      <c r="X2336" s="1">
        <v>0</v>
      </c>
      <c r="Y2336" s="1">
        <v>0</v>
      </c>
      <c r="Z2336" s="1">
        <v>0</v>
      </c>
      <c r="AA2336" s="1">
        <v>0</v>
      </c>
      <c r="AB2336" s="1">
        <v>0</v>
      </c>
      <c r="AC2336" s="1">
        <v>0</v>
      </c>
      <c r="AD2336" s="1">
        <v>0</v>
      </c>
    </row>
    <row r="2337" spans="1:30" s="20" customFormat="1" ht="36" customHeight="1" x14ac:dyDescent="0.25">
      <c r="A2337" s="2">
        <f t="shared" si="1322"/>
        <v>2254</v>
      </c>
      <c r="B2337" s="6">
        <f t="shared" si="1295"/>
        <v>2254</v>
      </c>
      <c r="C2337" s="19" t="s">
        <v>2152</v>
      </c>
      <c r="D2337" s="4">
        <f>E2337+M2337+O2337+Q2337+S2337+T2337+U2337+V2337+X2337+W2337+Z2337+AA2337+AB2337+AC2337+AD2337</f>
        <v>1995532</v>
      </c>
      <c r="E2337" s="1">
        <f t="shared" si="1323"/>
        <v>0</v>
      </c>
      <c r="F2337" s="1">
        <v>0</v>
      </c>
      <c r="G2337" s="1">
        <v>0</v>
      </c>
      <c r="H2337" s="1">
        <v>0</v>
      </c>
      <c r="I2337" s="1">
        <v>0</v>
      </c>
      <c r="J2337" s="1">
        <v>0</v>
      </c>
      <c r="K2337" s="1">
        <v>0</v>
      </c>
      <c r="L2337" s="2">
        <v>0</v>
      </c>
      <c r="M2337" s="1">
        <v>0</v>
      </c>
      <c r="N2337" s="1">
        <v>0</v>
      </c>
      <c r="O2337" s="1">
        <v>0</v>
      </c>
      <c r="P2337" s="1">
        <v>0</v>
      </c>
      <c r="Q2337" s="1">
        <f t="shared" si="1324"/>
        <v>0</v>
      </c>
      <c r="R2337" s="1">
        <v>532</v>
      </c>
      <c r="S2337" s="1">
        <f t="shared" si="1325"/>
        <v>1995532</v>
      </c>
      <c r="T2337" s="1">
        <v>0</v>
      </c>
      <c r="U2337" s="1">
        <v>0</v>
      </c>
      <c r="V2337" s="1">
        <v>0</v>
      </c>
      <c r="W2337" s="1">
        <v>0</v>
      </c>
      <c r="X2337" s="1">
        <v>0</v>
      </c>
      <c r="Y2337" s="1">
        <v>0</v>
      </c>
      <c r="Z2337" s="1">
        <v>0</v>
      </c>
      <c r="AA2337" s="1">
        <v>0</v>
      </c>
      <c r="AB2337" s="1">
        <v>0</v>
      </c>
      <c r="AC2337" s="1">
        <v>0</v>
      </c>
      <c r="AD2337" s="1">
        <v>0</v>
      </c>
    </row>
    <row r="2338" spans="1:30" s="20" customFormat="1" ht="36" customHeight="1" x14ac:dyDescent="0.25">
      <c r="A2338" s="2">
        <f t="shared" si="1322"/>
        <v>2255</v>
      </c>
      <c r="B2338" s="3">
        <f t="shared" si="1295"/>
        <v>2255</v>
      </c>
      <c r="C2338" s="19" t="s">
        <v>1405</v>
      </c>
      <c r="D2338" s="4">
        <f t="shared" ref="D2338:D2366" si="1326">E2338+M2338+O2338+Q2338+S2338+T2338+U2338+V2338+W2338+X2338+Z2338+AA2338+AB2338+AC2338+AD2338</f>
        <v>9618387.5</v>
      </c>
      <c r="E2338" s="1">
        <f t="shared" si="1323"/>
        <v>2353822.5</v>
      </c>
      <c r="F2338" s="1">
        <f>804*599.7</f>
        <v>482158.80000000005</v>
      </c>
      <c r="G2338" s="1">
        <f>1693*599.7</f>
        <v>1015292.1000000001</v>
      </c>
      <c r="H2338" s="1">
        <f>390*599.7</f>
        <v>233883.00000000003</v>
      </c>
      <c r="I2338" s="1">
        <f>571*599.7</f>
        <v>342428.7</v>
      </c>
      <c r="J2338" s="1">
        <f>467*599.7</f>
        <v>280059.90000000002</v>
      </c>
      <c r="K2338" s="1">
        <v>0</v>
      </c>
      <c r="L2338" s="2">
        <v>0</v>
      </c>
      <c r="M2338" s="1">
        <v>0</v>
      </c>
      <c r="N2338" s="1">
        <v>772</v>
      </c>
      <c r="O2338" s="1">
        <f>N2338*7750</f>
        <v>5983000</v>
      </c>
      <c r="P2338" s="1">
        <v>0</v>
      </c>
      <c r="Q2338" s="1">
        <f t="shared" si="1324"/>
        <v>0</v>
      </c>
      <c r="R2338" s="1">
        <v>315</v>
      </c>
      <c r="S2338" s="1">
        <f t="shared" si="1325"/>
        <v>1181565</v>
      </c>
      <c r="T2338" s="1">
        <v>0</v>
      </c>
      <c r="U2338" s="1">
        <v>50000</v>
      </c>
      <c r="V2338" s="1">
        <v>0</v>
      </c>
      <c r="W2338" s="1">
        <v>50000</v>
      </c>
      <c r="X2338" s="1">
        <v>0</v>
      </c>
      <c r="Y2338" s="1">
        <v>0</v>
      </c>
      <c r="Z2338" s="1">
        <v>0</v>
      </c>
      <c r="AA2338" s="1">
        <v>0</v>
      </c>
      <c r="AB2338" s="1">
        <v>0</v>
      </c>
      <c r="AC2338" s="1">
        <v>0</v>
      </c>
      <c r="AD2338" s="1">
        <v>0</v>
      </c>
    </row>
    <row r="2339" spans="1:30" s="20" customFormat="1" ht="36" customHeight="1" x14ac:dyDescent="0.25">
      <c r="A2339" s="2">
        <f t="shared" si="1322"/>
        <v>2256</v>
      </c>
      <c r="B2339" s="3">
        <f t="shared" si="1295"/>
        <v>2256</v>
      </c>
      <c r="C2339" s="19" t="s">
        <v>1406</v>
      </c>
      <c r="D2339" s="4">
        <f t="shared" si="1326"/>
        <v>19440042.25</v>
      </c>
      <c r="E2339" s="1">
        <f t="shared" si="1323"/>
        <v>10484342.25</v>
      </c>
      <c r="F2339" s="1">
        <f>804*2671.17</f>
        <v>2147620.6800000002</v>
      </c>
      <c r="G2339" s="1">
        <f>1693*2671.17</f>
        <v>4522290.8100000005</v>
      </c>
      <c r="H2339" s="1">
        <f>390*2671.17</f>
        <v>1041756.3</v>
      </c>
      <c r="I2339" s="1">
        <f>571*2671.17</f>
        <v>1525238.07</v>
      </c>
      <c r="J2339" s="1">
        <f>467*2671.17</f>
        <v>1247436.3900000001</v>
      </c>
      <c r="K2339" s="1">
        <v>0</v>
      </c>
      <c r="L2339" s="2">
        <v>0</v>
      </c>
      <c r="M2339" s="1">
        <v>0</v>
      </c>
      <c r="N2339" s="1">
        <v>650</v>
      </c>
      <c r="O2339" s="1">
        <f>N2339*4968</f>
        <v>3229200</v>
      </c>
      <c r="P2339" s="1">
        <v>0</v>
      </c>
      <c r="Q2339" s="1">
        <f t="shared" si="1324"/>
        <v>0</v>
      </c>
      <c r="R2339" s="1">
        <v>1500</v>
      </c>
      <c r="S2339" s="1">
        <f t="shared" si="1325"/>
        <v>5626500</v>
      </c>
      <c r="T2339" s="1">
        <v>0</v>
      </c>
      <c r="U2339" s="1">
        <v>50000</v>
      </c>
      <c r="V2339" s="1">
        <v>0</v>
      </c>
      <c r="W2339" s="1">
        <v>50000</v>
      </c>
      <c r="X2339" s="1">
        <v>0</v>
      </c>
      <c r="Y2339" s="1">
        <v>0</v>
      </c>
      <c r="Z2339" s="1">
        <v>0</v>
      </c>
      <c r="AA2339" s="1">
        <v>0</v>
      </c>
      <c r="AB2339" s="1">
        <v>0</v>
      </c>
      <c r="AC2339" s="1">
        <v>0</v>
      </c>
      <c r="AD2339" s="1">
        <v>0</v>
      </c>
    </row>
    <row r="2340" spans="1:30" s="20" customFormat="1" ht="36" customHeight="1" x14ac:dyDescent="0.25">
      <c r="A2340" s="2">
        <f t="shared" si="1322"/>
        <v>2257</v>
      </c>
      <c r="B2340" s="3">
        <f t="shared" si="1295"/>
        <v>2257</v>
      </c>
      <c r="C2340" s="19" t="s">
        <v>1407</v>
      </c>
      <c r="D2340" s="4">
        <f t="shared" si="1326"/>
        <v>19256979.75</v>
      </c>
      <c r="E2340" s="1">
        <f t="shared" si="1323"/>
        <v>10336055.75</v>
      </c>
      <c r="F2340" s="1">
        <f>804*2633.39</f>
        <v>2117245.56</v>
      </c>
      <c r="G2340" s="1">
        <f>1693*2633.39</f>
        <v>4458329.2699999996</v>
      </c>
      <c r="H2340" s="1">
        <f>390*2633.39</f>
        <v>1027022.1</v>
      </c>
      <c r="I2340" s="1">
        <f>571*2633.39</f>
        <v>1503665.69</v>
      </c>
      <c r="J2340" s="1">
        <f>467*2633.39</f>
        <v>1229793.1299999999</v>
      </c>
      <c r="K2340" s="1">
        <v>0</v>
      </c>
      <c r="L2340" s="2">
        <v>0</v>
      </c>
      <c r="M2340" s="1">
        <v>0</v>
      </c>
      <c r="N2340" s="1">
        <v>643</v>
      </c>
      <c r="O2340" s="1">
        <f>N2340*4968</f>
        <v>3194424</v>
      </c>
      <c r="P2340" s="1">
        <v>0</v>
      </c>
      <c r="Q2340" s="1">
        <f t="shared" si="1324"/>
        <v>0</v>
      </c>
      <c r="R2340" s="1">
        <v>1500</v>
      </c>
      <c r="S2340" s="1">
        <f t="shared" si="1325"/>
        <v>5626500</v>
      </c>
      <c r="T2340" s="1">
        <v>0</v>
      </c>
      <c r="U2340" s="1">
        <v>50000</v>
      </c>
      <c r="V2340" s="1">
        <v>0</v>
      </c>
      <c r="W2340" s="1">
        <v>50000</v>
      </c>
      <c r="X2340" s="1">
        <v>0</v>
      </c>
      <c r="Y2340" s="1">
        <v>0</v>
      </c>
      <c r="Z2340" s="1">
        <v>0</v>
      </c>
      <c r="AA2340" s="1">
        <v>0</v>
      </c>
      <c r="AB2340" s="1">
        <v>0</v>
      </c>
      <c r="AC2340" s="1">
        <v>0</v>
      </c>
      <c r="AD2340" s="1">
        <v>0</v>
      </c>
    </row>
    <row r="2341" spans="1:30" s="20" customFormat="1" ht="36" customHeight="1" x14ac:dyDescent="0.25">
      <c r="A2341" s="2">
        <f t="shared" si="1322"/>
        <v>2258</v>
      </c>
      <c r="B2341" s="3">
        <f t="shared" si="1295"/>
        <v>2258</v>
      </c>
      <c r="C2341" s="19" t="s">
        <v>1408</v>
      </c>
      <c r="D2341" s="4">
        <f t="shared" si="1326"/>
        <v>35492600</v>
      </c>
      <c r="E2341" s="1">
        <f t="shared" si="1323"/>
        <v>21807300</v>
      </c>
      <c r="F2341" s="1">
        <f>804*5556</f>
        <v>4467024</v>
      </c>
      <c r="G2341" s="1">
        <f>1693*5556</f>
        <v>9406308</v>
      </c>
      <c r="H2341" s="1">
        <f>390*5556</f>
        <v>2166840</v>
      </c>
      <c r="I2341" s="1">
        <f>571*5556</f>
        <v>3172476</v>
      </c>
      <c r="J2341" s="1">
        <f>467*5556</f>
        <v>2594652</v>
      </c>
      <c r="K2341" s="1">
        <v>0</v>
      </c>
      <c r="L2341" s="2">
        <v>0</v>
      </c>
      <c r="M2341" s="1">
        <v>0</v>
      </c>
      <c r="N2341" s="1">
        <v>1300</v>
      </c>
      <c r="O2341" s="1">
        <f>N2341*4968</f>
        <v>6458400</v>
      </c>
      <c r="P2341" s="1">
        <v>0</v>
      </c>
      <c r="Q2341" s="1">
        <f t="shared" si="1324"/>
        <v>0</v>
      </c>
      <c r="R2341" s="1">
        <v>1900</v>
      </c>
      <c r="S2341" s="1">
        <f t="shared" si="1325"/>
        <v>7126900</v>
      </c>
      <c r="T2341" s="1">
        <v>0</v>
      </c>
      <c r="U2341" s="1">
        <v>50000</v>
      </c>
      <c r="V2341" s="1">
        <v>0</v>
      </c>
      <c r="W2341" s="1">
        <v>50000</v>
      </c>
      <c r="X2341" s="1">
        <v>0</v>
      </c>
      <c r="Y2341" s="1">
        <v>0</v>
      </c>
      <c r="Z2341" s="1">
        <v>0</v>
      </c>
      <c r="AA2341" s="1">
        <v>0</v>
      </c>
      <c r="AB2341" s="1">
        <v>0</v>
      </c>
      <c r="AC2341" s="1">
        <v>0</v>
      </c>
      <c r="AD2341" s="1">
        <v>0</v>
      </c>
    </row>
    <row r="2342" spans="1:30" s="20" customFormat="1" ht="36" customHeight="1" x14ac:dyDescent="0.25">
      <c r="A2342" s="2">
        <f t="shared" si="1322"/>
        <v>2259</v>
      </c>
      <c r="B2342" s="3">
        <f t="shared" si="1295"/>
        <v>2259</v>
      </c>
      <c r="C2342" s="30" t="s">
        <v>2560</v>
      </c>
      <c r="D2342" s="4">
        <f t="shared" si="1326"/>
        <v>25315681</v>
      </c>
      <c r="E2342" s="1">
        <f t="shared" si="1323"/>
        <v>17903181</v>
      </c>
      <c r="F2342" s="1">
        <f>804*4561.32</f>
        <v>3667301.28</v>
      </c>
      <c r="G2342" s="1">
        <f>1693*4561.32</f>
        <v>7722314.7599999998</v>
      </c>
      <c r="H2342" s="1">
        <f>390*4561.32</f>
        <v>1778914.7999999998</v>
      </c>
      <c r="I2342" s="1">
        <f>571*4561.32</f>
        <v>2604513.7199999997</v>
      </c>
      <c r="J2342" s="1">
        <f>467*4561.32</f>
        <v>2130136.44</v>
      </c>
      <c r="K2342" s="1">
        <v>0</v>
      </c>
      <c r="L2342" s="2">
        <v>0</v>
      </c>
      <c r="M2342" s="1">
        <v>0</v>
      </c>
      <c r="N2342" s="1">
        <v>950</v>
      </c>
      <c r="O2342" s="1">
        <f>N2342*7750</f>
        <v>7362500</v>
      </c>
      <c r="P2342" s="1">
        <v>0</v>
      </c>
      <c r="Q2342" s="1">
        <f t="shared" si="1324"/>
        <v>0</v>
      </c>
      <c r="R2342" s="1">
        <v>0</v>
      </c>
      <c r="S2342" s="1">
        <f t="shared" si="1325"/>
        <v>0</v>
      </c>
      <c r="T2342" s="1">
        <v>0</v>
      </c>
      <c r="U2342" s="1">
        <v>50000</v>
      </c>
      <c r="V2342" s="1">
        <v>0</v>
      </c>
      <c r="W2342" s="1">
        <v>0</v>
      </c>
      <c r="X2342" s="1">
        <v>0</v>
      </c>
      <c r="Y2342" s="1">
        <v>0</v>
      </c>
      <c r="Z2342" s="1">
        <v>0</v>
      </c>
      <c r="AA2342" s="1">
        <v>0</v>
      </c>
      <c r="AB2342" s="1">
        <v>0</v>
      </c>
      <c r="AC2342" s="1">
        <v>0</v>
      </c>
      <c r="AD2342" s="1">
        <v>0</v>
      </c>
    </row>
    <row r="2343" spans="1:30" s="20" customFormat="1" ht="36" customHeight="1" x14ac:dyDescent="0.25">
      <c r="A2343" s="2">
        <f t="shared" si="1322"/>
        <v>2260</v>
      </c>
      <c r="B2343" s="3">
        <f t="shared" si="1295"/>
        <v>2260</v>
      </c>
      <c r="C2343" s="30" t="s">
        <v>2561</v>
      </c>
      <c r="D2343" s="4">
        <f t="shared" si="1326"/>
        <v>32099640.999999996</v>
      </c>
      <c r="E2343" s="1">
        <f t="shared" si="1323"/>
        <v>18071484.999999996</v>
      </c>
      <c r="F2343" s="1">
        <f>804*4604.2</f>
        <v>3701776.8</v>
      </c>
      <c r="G2343" s="1">
        <f>1693*4604.2</f>
        <v>7794910.5999999996</v>
      </c>
      <c r="H2343" s="1">
        <f>390*4604.2</f>
        <v>1795638</v>
      </c>
      <c r="I2343" s="1">
        <f>571*4604.2</f>
        <v>2628998.1999999997</v>
      </c>
      <c r="J2343" s="1">
        <f>467*4604.2</f>
        <v>2150161.4</v>
      </c>
      <c r="K2343" s="1">
        <v>0</v>
      </c>
      <c r="L2343" s="2">
        <v>0</v>
      </c>
      <c r="M2343" s="1">
        <v>0</v>
      </c>
      <c r="N2343" s="1">
        <v>1067</v>
      </c>
      <c r="O2343" s="1">
        <f>N2343*4968</f>
        <v>5300856</v>
      </c>
      <c r="P2343" s="1">
        <v>0</v>
      </c>
      <c r="Q2343" s="1">
        <f t="shared" si="1324"/>
        <v>0</v>
      </c>
      <c r="R2343" s="1">
        <v>2300</v>
      </c>
      <c r="S2343" s="1">
        <f t="shared" si="1325"/>
        <v>8627300</v>
      </c>
      <c r="T2343" s="1">
        <v>0</v>
      </c>
      <c r="U2343" s="1">
        <v>50000</v>
      </c>
      <c r="V2343" s="1">
        <v>0</v>
      </c>
      <c r="W2343" s="1">
        <v>50000</v>
      </c>
      <c r="X2343" s="1">
        <v>0</v>
      </c>
      <c r="Y2343" s="1">
        <v>0</v>
      </c>
      <c r="Z2343" s="1">
        <v>0</v>
      </c>
      <c r="AA2343" s="1">
        <v>0</v>
      </c>
      <c r="AB2343" s="1">
        <v>0</v>
      </c>
      <c r="AC2343" s="1">
        <v>0</v>
      </c>
      <c r="AD2343" s="1">
        <v>0</v>
      </c>
    </row>
    <row r="2344" spans="1:30" s="20" customFormat="1" ht="36" customHeight="1" x14ac:dyDescent="0.25">
      <c r="A2344" s="2">
        <f t="shared" si="1322"/>
        <v>2261</v>
      </c>
      <c r="B2344" s="3">
        <f t="shared" si="1295"/>
        <v>2261</v>
      </c>
      <c r="C2344" s="30" t="s">
        <v>2562</v>
      </c>
      <c r="D2344" s="4">
        <f t="shared" si="1326"/>
        <v>31221237.5</v>
      </c>
      <c r="E2344" s="1">
        <f t="shared" si="1323"/>
        <v>17953185.5</v>
      </c>
      <c r="F2344" s="1">
        <f>804*4574.06</f>
        <v>3677544.24</v>
      </c>
      <c r="G2344" s="1">
        <f>1693*4574.06</f>
        <v>7743883.580000001</v>
      </c>
      <c r="H2344" s="1">
        <f>390*4574.06</f>
        <v>1783883.4000000001</v>
      </c>
      <c r="I2344" s="1">
        <f>571*4574.06</f>
        <v>2611788.2600000002</v>
      </c>
      <c r="J2344" s="1">
        <f>467*4574.06</f>
        <v>2136086.02</v>
      </c>
      <c r="K2344" s="1">
        <v>0</v>
      </c>
      <c r="L2344" s="2">
        <v>0</v>
      </c>
      <c r="M2344" s="1">
        <v>0</v>
      </c>
      <c r="N2344" s="1">
        <v>914</v>
      </c>
      <c r="O2344" s="1">
        <f>N2344*4968</f>
        <v>4540752</v>
      </c>
      <c r="P2344" s="1">
        <v>0</v>
      </c>
      <c r="Q2344" s="1">
        <f t="shared" si="1324"/>
        <v>0</v>
      </c>
      <c r="R2344" s="1">
        <v>2300</v>
      </c>
      <c r="S2344" s="1">
        <f t="shared" si="1325"/>
        <v>8627300</v>
      </c>
      <c r="T2344" s="1">
        <v>0</v>
      </c>
      <c r="U2344" s="1">
        <v>50000</v>
      </c>
      <c r="V2344" s="1">
        <v>0</v>
      </c>
      <c r="W2344" s="1">
        <v>50000</v>
      </c>
      <c r="X2344" s="1">
        <v>0</v>
      </c>
      <c r="Y2344" s="1">
        <v>0</v>
      </c>
      <c r="Z2344" s="1">
        <v>0</v>
      </c>
      <c r="AA2344" s="1">
        <v>0</v>
      </c>
      <c r="AB2344" s="1">
        <v>0</v>
      </c>
      <c r="AC2344" s="1">
        <v>0</v>
      </c>
      <c r="AD2344" s="1">
        <v>0</v>
      </c>
    </row>
    <row r="2345" spans="1:30" s="20" customFormat="1" ht="36" customHeight="1" x14ac:dyDescent="0.25">
      <c r="A2345" s="2">
        <f t="shared" si="1322"/>
        <v>2262</v>
      </c>
      <c r="B2345" s="3">
        <f t="shared" si="1295"/>
        <v>2262</v>
      </c>
      <c r="C2345" s="30" t="s">
        <v>1409</v>
      </c>
      <c r="D2345" s="4">
        <f t="shared" si="1326"/>
        <v>15672148.5</v>
      </c>
      <c r="E2345" s="1">
        <f t="shared" si="1323"/>
        <v>9672848.5</v>
      </c>
      <c r="F2345" s="1">
        <f>804*2464.42</f>
        <v>1981393.6800000002</v>
      </c>
      <c r="G2345" s="1">
        <f>1693*2464.42</f>
        <v>4172263.06</v>
      </c>
      <c r="H2345" s="1">
        <f>390*2464.42</f>
        <v>961123.8</v>
      </c>
      <c r="I2345" s="1">
        <f>571*2464.42</f>
        <v>1407183.82</v>
      </c>
      <c r="J2345" s="1">
        <f>467*2464.42</f>
        <v>1150884.1400000001</v>
      </c>
      <c r="K2345" s="1">
        <v>0</v>
      </c>
      <c r="L2345" s="2">
        <v>0</v>
      </c>
      <c r="M2345" s="1">
        <v>0</v>
      </c>
      <c r="N2345" s="1">
        <v>495</v>
      </c>
      <c r="O2345" s="1">
        <f>N2345*7750</f>
        <v>3836250</v>
      </c>
      <c r="P2345" s="1">
        <v>0</v>
      </c>
      <c r="Q2345" s="1">
        <f t="shared" si="1324"/>
        <v>0</v>
      </c>
      <c r="R2345" s="1">
        <v>550</v>
      </c>
      <c r="S2345" s="1">
        <f t="shared" si="1325"/>
        <v>2063050</v>
      </c>
      <c r="T2345" s="1">
        <v>0</v>
      </c>
      <c r="U2345" s="1">
        <v>50000</v>
      </c>
      <c r="V2345" s="1">
        <v>0</v>
      </c>
      <c r="W2345" s="1">
        <v>50000</v>
      </c>
      <c r="X2345" s="1">
        <v>0</v>
      </c>
      <c r="Y2345" s="1">
        <v>0</v>
      </c>
      <c r="Z2345" s="1">
        <v>0</v>
      </c>
      <c r="AA2345" s="1">
        <v>0</v>
      </c>
      <c r="AB2345" s="1">
        <v>0</v>
      </c>
      <c r="AC2345" s="1">
        <v>0</v>
      </c>
      <c r="AD2345" s="1">
        <v>0</v>
      </c>
    </row>
    <row r="2346" spans="1:30" s="20" customFormat="1" ht="36" customHeight="1" x14ac:dyDescent="0.25">
      <c r="A2346" s="2">
        <f t="shared" si="1322"/>
        <v>2263</v>
      </c>
      <c r="B2346" s="3">
        <f t="shared" si="1295"/>
        <v>2263</v>
      </c>
      <c r="C2346" s="30" t="s">
        <v>1410</v>
      </c>
      <c r="D2346" s="4">
        <f t="shared" si="1326"/>
        <v>41522997.5</v>
      </c>
      <c r="E2346" s="1">
        <f t="shared" si="1323"/>
        <v>23332947.499999996</v>
      </c>
      <c r="F2346" s="1">
        <f>804*5944.7</f>
        <v>4779538.8</v>
      </c>
      <c r="G2346" s="1">
        <f>1693*5944.7</f>
        <v>10064377.1</v>
      </c>
      <c r="H2346" s="1">
        <f>390*5944.7</f>
        <v>2318433</v>
      </c>
      <c r="I2346" s="1">
        <f>571*5944.7</f>
        <v>3394423.6999999997</v>
      </c>
      <c r="J2346" s="1">
        <f>467*5944.7</f>
        <v>2776174.9</v>
      </c>
      <c r="K2346" s="1">
        <v>0</v>
      </c>
      <c r="L2346" s="2">
        <v>0</v>
      </c>
      <c r="M2346" s="1">
        <v>0</v>
      </c>
      <c r="N2346" s="1">
        <v>979</v>
      </c>
      <c r="O2346" s="1">
        <f>N2346*7750</f>
        <v>7587250</v>
      </c>
      <c r="P2346" s="1">
        <v>0</v>
      </c>
      <c r="Q2346" s="1">
        <f t="shared" si="1324"/>
        <v>0</v>
      </c>
      <c r="R2346" s="1">
        <v>2800</v>
      </c>
      <c r="S2346" s="1">
        <f t="shared" si="1325"/>
        <v>10502800</v>
      </c>
      <c r="T2346" s="1">
        <v>0</v>
      </c>
      <c r="U2346" s="1">
        <v>50000</v>
      </c>
      <c r="V2346" s="1">
        <v>0</v>
      </c>
      <c r="W2346" s="1">
        <v>50000</v>
      </c>
      <c r="X2346" s="1">
        <v>0</v>
      </c>
      <c r="Y2346" s="1">
        <v>0</v>
      </c>
      <c r="Z2346" s="1">
        <v>0</v>
      </c>
      <c r="AA2346" s="1">
        <v>0</v>
      </c>
      <c r="AB2346" s="1">
        <v>0</v>
      </c>
      <c r="AC2346" s="1">
        <v>0</v>
      </c>
      <c r="AD2346" s="1">
        <v>0</v>
      </c>
    </row>
    <row r="2347" spans="1:30" s="20" customFormat="1" ht="36" customHeight="1" x14ac:dyDescent="0.25">
      <c r="A2347" s="2">
        <f t="shared" si="1322"/>
        <v>2264</v>
      </c>
      <c r="B2347" s="3">
        <f t="shared" si="1295"/>
        <v>2264</v>
      </c>
      <c r="C2347" s="19" t="s">
        <v>1411</v>
      </c>
      <c r="D2347" s="4">
        <f t="shared" si="1326"/>
        <v>28771845</v>
      </c>
      <c r="E2347" s="1">
        <f t="shared" si="1323"/>
        <v>13562445.000000002</v>
      </c>
      <c r="F2347" s="1">
        <f>804*3455.4</f>
        <v>2778141.6</v>
      </c>
      <c r="G2347" s="1">
        <f>1693*3455.4</f>
        <v>5849992.2000000002</v>
      </c>
      <c r="H2347" s="1">
        <f>390*3455.4</f>
        <v>1347606</v>
      </c>
      <c r="I2347" s="1">
        <f>571*3455.4</f>
        <v>1973033.4000000001</v>
      </c>
      <c r="J2347" s="1">
        <f>467*3455.4</f>
        <v>1613671.8</v>
      </c>
      <c r="K2347" s="1">
        <v>0</v>
      </c>
      <c r="L2347" s="2">
        <v>0</v>
      </c>
      <c r="M2347" s="1">
        <v>0</v>
      </c>
      <c r="N2347" s="1">
        <v>909</v>
      </c>
      <c r="O2347" s="1">
        <f>N2347*7750</f>
        <v>7044750</v>
      </c>
      <c r="P2347" s="1">
        <v>0</v>
      </c>
      <c r="Q2347" s="1">
        <f t="shared" si="1324"/>
        <v>0</v>
      </c>
      <c r="R2347" s="1">
        <v>2150</v>
      </c>
      <c r="S2347" s="1">
        <f t="shared" si="1325"/>
        <v>8064650</v>
      </c>
      <c r="T2347" s="1">
        <v>0</v>
      </c>
      <c r="U2347" s="1">
        <v>50000</v>
      </c>
      <c r="V2347" s="1">
        <v>0</v>
      </c>
      <c r="W2347" s="1">
        <v>50000</v>
      </c>
      <c r="X2347" s="1">
        <v>0</v>
      </c>
      <c r="Y2347" s="1">
        <v>0</v>
      </c>
      <c r="Z2347" s="1">
        <v>0</v>
      </c>
      <c r="AA2347" s="1">
        <v>0</v>
      </c>
      <c r="AB2347" s="1">
        <v>0</v>
      </c>
      <c r="AC2347" s="1">
        <v>0</v>
      </c>
      <c r="AD2347" s="1">
        <v>0</v>
      </c>
    </row>
    <row r="2348" spans="1:30" s="20" customFormat="1" ht="36" customHeight="1" x14ac:dyDescent="0.25">
      <c r="A2348" s="2">
        <f t="shared" si="1322"/>
        <v>2265</v>
      </c>
      <c r="B2348" s="3">
        <f t="shared" si="1295"/>
        <v>2265</v>
      </c>
      <c r="C2348" s="19" t="s">
        <v>2563</v>
      </c>
      <c r="D2348" s="4">
        <f t="shared" si="1326"/>
        <v>23901590.5</v>
      </c>
      <c r="E2348" s="1">
        <f t="shared" si="1323"/>
        <v>12772342.499999998</v>
      </c>
      <c r="F2348" s="1">
        <f>804*3254.1</f>
        <v>2616296.4</v>
      </c>
      <c r="G2348" s="1">
        <f>1693*3254.1</f>
        <v>5509191.2999999998</v>
      </c>
      <c r="H2348" s="1">
        <f>390*3254.1</f>
        <v>1269099</v>
      </c>
      <c r="I2348" s="1">
        <f>571*3254.1</f>
        <v>1858091.0999999999</v>
      </c>
      <c r="J2348" s="1">
        <f>467*3254.1</f>
        <v>1519664.7</v>
      </c>
      <c r="K2348" s="1">
        <v>0</v>
      </c>
      <c r="L2348" s="2">
        <v>0</v>
      </c>
      <c r="M2348" s="1">
        <v>0</v>
      </c>
      <c r="N2348" s="1">
        <v>861</v>
      </c>
      <c r="O2348" s="1">
        <f>N2348*4968</f>
        <v>4277448</v>
      </c>
      <c r="P2348" s="1">
        <v>0</v>
      </c>
      <c r="Q2348" s="1">
        <f t="shared" si="1324"/>
        <v>0</v>
      </c>
      <c r="R2348" s="1">
        <v>1800</v>
      </c>
      <c r="S2348" s="1">
        <f t="shared" si="1325"/>
        <v>6751800</v>
      </c>
      <c r="T2348" s="1">
        <v>0</v>
      </c>
      <c r="U2348" s="1">
        <v>50000</v>
      </c>
      <c r="V2348" s="1">
        <v>0</v>
      </c>
      <c r="W2348" s="1">
        <v>50000</v>
      </c>
      <c r="X2348" s="1">
        <v>0</v>
      </c>
      <c r="Y2348" s="1">
        <v>0</v>
      </c>
      <c r="Z2348" s="1">
        <v>0</v>
      </c>
      <c r="AA2348" s="1">
        <v>0</v>
      </c>
      <c r="AB2348" s="1">
        <v>0</v>
      </c>
      <c r="AC2348" s="1">
        <v>0</v>
      </c>
      <c r="AD2348" s="1">
        <v>0</v>
      </c>
    </row>
    <row r="2349" spans="1:30" s="20" customFormat="1" ht="36" customHeight="1" x14ac:dyDescent="0.25">
      <c r="A2349" s="2">
        <f t="shared" si="1322"/>
        <v>2266</v>
      </c>
      <c r="B2349" s="3">
        <f t="shared" si="1295"/>
        <v>2266</v>
      </c>
      <c r="C2349" s="30" t="s">
        <v>2564</v>
      </c>
      <c r="D2349" s="4">
        <f t="shared" si="1326"/>
        <v>29683899</v>
      </c>
      <c r="E2349" s="1">
        <f t="shared" si="1323"/>
        <v>17821855</v>
      </c>
      <c r="F2349" s="1">
        <f>804*4540.6</f>
        <v>3650642.4000000004</v>
      </c>
      <c r="G2349" s="1">
        <f>1693*4540.6</f>
        <v>7687235.8000000007</v>
      </c>
      <c r="H2349" s="1">
        <f>390*4540.6</f>
        <v>1770834.0000000002</v>
      </c>
      <c r="I2349" s="1">
        <f>571*4540.6</f>
        <v>2592682.6</v>
      </c>
      <c r="J2349" s="1">
        <f>467*4540.6</f>
        <v>2120460.2000000002</v>
      </c>
      <c r="K2349" s="1">
        <v>0</v>
      </c>
      <c r="L2349" s="2">
        <v>0</v>
      </c>
      <c r="M2349" s="1">
        <v>0</v>
      </c>
      <c r="N2349" s="1">
        <v>933</v>
      </c>
      <c r="O2349" s="1">
        <f>N2349*4968</f>
        <v>4635144</v>
      </c>
      <c r="P2349" s="1">
        <v>0</v>
      </c>
      <c r="Q2349" s="1">
        <f t="shared" si="1324"/>
        <v>0</v>
      </c>
      <c r="R2349" s="1">
        <v>1900</v>
      </c>
      <c r="S2349" s="1">
        <f t="shared" si="1325"/>
        <v>7126900</v>
      </c>
      <c r="T2349" s="1">
        <v>0</v>
      </c>
      <c r="U2349" s="1">
        <v>50000</v>
      </c>
      <c r="V2349" s="1">
        <v>0</v>
      </c>
      <c r="W2349" s="1">
        <v>50000</v>
      </c>
      <c r="X2349" s="1">
        <v>0</v>
      </c>
      <c r="Y2349" s="1">
        <v>0</v>
      </c>
      <c r="Z2349" s="1">
        <v>0</v>
      </c>
      <c r="AA2349" s="1">
        <v>0</v>
      </c>
      <c r="AB2349" s="1">
        <v>0</v>
      </c>
      <c r="AC2349" s="1">
        <v>0</v>
      </c>
      <c r="AD2349" s="1">
        <v>0</v>
      </c>
    </row>
    <row r="2350" spans="1:30" s="20" customFormat="1" ht="36" customHeight="1" x14ac:dyDescent="0.25">
      <c r="A2350" s="2">
        <f t="shared" si="1322"/>
        <v>2267</v>
      </c>
      <c r="B2350" s="3">
        <f t="shared" ref="B2350" si="1327">A2350</f>
        <v>2267</v>
      </c>
      <c r="C2350" s="30" t="s">
        <v>819</v>
      </c>
      <c r="D2350" s="4">
        <f t="shared" si="1326"/>
        <v>14041345.75</v>
      </c>
      <c r="E2350" s="1">
        <f t="shared" ref="E2350" si="1328">SUM(F2350:K2350)</f>
        <v>5864695.75</v>
      </c>
      <c r="F2350" s="1">
        <f>804*1494.19</f>
        <v>1201328.76</v>
      </c>
      <c r="G2350" s="1">
        <f>1693*1494.19</f>
        <v>2529663.67</v>
      </c>
      <c r="H2350" s="1">
        <f>390*1494.19</f>
        <v>582734.1</v>
      </c>
      <c r="I2350" s="1">
        <f>571*1494.19</f>
        <v>853182.49</v>
      </c>
      <c r="J2350" s="1">
        <f>467*1494.19</f>
        <v>697786.73</v>
      </c>
      <c r="K2350" s="1">
        <v>0</v>
      </c>
      <c r="L2350" s="2">
        <v>0</v>
      </c>
      <c r="M2350" s="1">
        <v>0</v>
      </c>
      <c r="N2350" s="1">
        <v>492</v>
      </c>
      <c r="O2350" s="1">
        <f>N2350*7750</f>
        <v>3813000</v>
      </c>
      <c r="P2350" s="1">
        <v>0</v>
      </c>
      <c r="Q2350" s="1">
        <f t="shared" ref="Q2350" si="1329">P2350*1400</f>
        <v>0</v>
      </c>
      <c r="R2350" s="1">
        <v>1150</v>
      </c>
      <c r="S2350" s="1">
        <f t="shared" ref="S2350" si="1330">R2350*3751</f>
        <v>4313650</v>
      </c>
      <c r="T2350" s="1">
        <v>0</v>
      </c>
      <c r="U2350" s="1">
        <v>50000</v>
      </c>
      <c r="V2350" s="1">
        <v>0</v>
      </c>
      <c r="W2350" s="1">
        <v>0</v>
      </c>
      <c r="X2350" s="1">
        <v>0</v>
      </c>
      <c r="Y2350" s="1">
        <v>0</v>
      </c>
      <c r="Z2350" s="1">
        <v>0</v>
      </c>
      <c r="AA2350" s="1">
        <v>0</v>
      </c>
      <c r="AB2350" s="1">
        <v>0</v>
      </c>
      <c r="AC2350" s="1">
        <v>0</v>
      </c>
      <c r="AD2350" s="1">
        <v>0</v>
      </c>
    </row>
    <row r="2351" spans="1:30" s="20" customFormat="1" ht="36" customHeight="1" x14ac:dyDescent="0.25">
      <c r="A2351" s="2">
        <f t="shared" si="1322"/>
        <v>2268</v>
      </c>
      <c r="B2351" s="3">
        <f t="shared" si="1295"/>
        <v>2268</v>
      </c>
      <c r="C2351" s="19" t="s">
        <v>2565</v>
      </c>
      <c r="D2351" s="4">
        <f t="shared" si="1326"/>
        <v>38815594.5</v>
      </c>
      <c r="E2351" s="1">
        <f t="shared" si="1323"/>
        <v>24402274.500000004</v>
      </c>
      <c r="F2351" s="1">
        <f>804*6217.14</f>
        <v>4998580.5600000005</v>
      </c>
      <c r="G2351" s="1">
        <f>1693*6217.14</f>
        <v>10525618.020000001</v>
      </c>
      <c r="H2351" s="1">
        <f>390*6217.14</f>
        <v>2424684.6</v>
      </c>
      <c r="I2351" s="1">
        <f>571*6217.14</f>
        <v>3549986.9400000004</v>
      </c>
      <c r="J2351" s="1">
        <f>467*6217.14</f>
        <v>2903404.3800000004</v>
      </c>
      <c r="K2351" s="1">
        <v>0</v>
      </c>
      <c r="L2351" s="2">
        <v>0</v>
      </c>
      <c r="M2351" s="1">
        <v>0</v>
      </c>
      <c r="N2351" s="1">
        <v>966</v>
      </c>
      <c r="O2351" s="1">
        <f>N2351*7750</f>
        <v>7486500</v>
      </c>
      <c r="P2351" s="1">
        <v>0</v>
      </c>
      <c r="Q2351" s="1">
        <f t="shared" si="1324"/>
        <v>0</v>
      </c>
      <c r="R2351" s="1">
        <v>1820</v>
      </c>
      <c r="S2351" s="1">
        <f t="shared" si="1325"/>
        <v>6826820</v>
      </c>
      <c r="T2351" s="1">
        <v>0</v>
      </c>
      <c r="U2351" s="1">
        <v>50000</v>
      </c>
      <c r="V2351" s="1">
        <v>0</v>
      </c>
      <c r="W2351" s="1">
        <v>50000</v>
      </c>
      <c r="X2351" s="1">
        <v>0</v>
      </c>
      <c r="Y2351" s="1">
        <v>0</v>
      </c>
      <c r="Z2351" s="1">
        <v>0</v>
      </c>
      <c r="AA2351" s="1">
        <v>0</v>
      </c>
      <c r="AB2351" s="1">
        <v>0</v>
      </c>
      <c r="AC2351" s="1">
        <v>0</v>
      </c>
      <c r="AD2351" s="1">
        <v>0</v>
      </c>
    </row>
    <row r="2352" spans="1:30" s="20" customFormat="1" ht="36" customHeight="1" x14ac:dyDescent="0.25">
      <c r="A2352" s="2">
        <f t="shared" si="1322"/>
        <v>2269</v>
      </c>
      <c r="B2352" s="3">
        <f t="shared" si="1295"/>
        <v>2269</v>
      </c>
      <c r="C2352" s="30" t="s">
        <v>2153</v>
      </c>
      <c r="D2352" s="4">
        <f t="shared" si="1326"/>
        <v>10650155.5</v>
      </c>
      <c r="E2352" s="1">
        <f t="shared" si="1323"/>
        <v>4100447.5000000005</v>
      </c>
      <c r="F2352" s="1">
        <f>804*1044.7</f>
        <v>839938.8</v>
      </c>
      <c r="G2352" s="1">
        <f>1693*1044.7</f>
        <v>1768677.1</v>
      </c>
      <c r="H2352" s="1">
        <f>390*1044.7</f>
        <v>407433</v>
      </c>
      <c r="I2352" s="1">
        <f>571*1044.7</f>
        <v>596523.70000000007</v>
      </c>
      <c r="J2352" s="1">
        <f>467*1044.7</f>
        <v>487874.9</v>
      </c>
      <c r="K2352" s="1">
        <v>0</v>
      </c>
      <c r="L2352" s="2">
        <v>0</v>
      </c>
      <c r="M2352" s="1">
        <v>0</v>
      </c>
      <c r="N2352" s="1">
        <v>375</v>
      </c>
      <c r="O2352" s="1">
        <f>N2352*7750</f>
        <v>2906250</v>
      </c>
      <c r="P2352" s="1">
        <v>0</v>
      </c>
      <c r="Q2352" s="1">
        <f t="shared" si="1324"/>
        <v>0</v>
      </c>
      <c r="R2352" s="1">
        <v>958</v>
      </c>
      <c r="S2352" s="1">
        <f t="shared" si="1325"/>
        <v>3593458</v>
      </c>
      <c r="T2352" s="1">
        <v>0</v>
      </c>
      <c r="U2352" s="1">
        <v>50000</v>
      </c>
      <c r="V2352" s="1">
        <v>0</v>
      </c>
      <c r="W2352" s="1">
        <v>0</v>
      </c>
      <c r="X2352" s="1">
        <v>0</v>
      </c>
      <c r="Y2352" s="1">
        <v>0</v>
      </c>
      <c r="Z2352" s="1">
        <v>0</v>
      </c>
      <c r="AA2352" s="1">
        <v>0</v>
      </c>
      <c r="AB2352" s="1">
        <v>0</v>
      </c>
      <c r="AC2352" s="1">
        <v>0</v>
      </c>
      <c r="AD2352" s="1">
        <v>0</v>
      </c>
    </row>
    <row r="2353" spans="1:30" s="20" customFormat="1" ht="36" customHeight="1" x14ac:dyDescent="0.25">
      <c r="A2353" s="2">
        <f t="shared" si="1322"/>
        <v>2270</v>
      </c>
      <c r="B2353" s="3">
        <f t="shared" si="1295"/>
        <v>2270</v>
      </c>
      <c r="C2353" s="19" t="s">
        <v>1412</v>
      </c>
      <c r="D2353" s="4">
        <f t="shared" si="1326"/>
        <v>35302052</v>
      </c>
      <c r="E2353" s="1">
        <f t="shared" si="1323"/>
        <v>23669633.999999996</v>
      </c>
      <c r="F2353" s="1">
        <f>804*6030.48</f>
        <v>4848505.92</v>
      </c>
      <c r="G2353" s="1">
        <f>1693*6030.48</f>
        <v>10209602.639999999</v>
      </c>
      <c r="H2353" s="1">
        <f>390*6030.48</f>
        <v>2351887.1999999997</v>
      </c>
      <c r="I2353" s="1">
        <f>571*6030.48</f>
        <v>3443404.0799999996</v>
      </c>
      <c r="J2353" s="1">
        <f>467*6030.48</f>
        <v>2816234.1599999997</v>
      </c>
      <c r="K2353" s="1">
        <v>0</v>
      </c>
      <c r="L2353" s="2">
        <v>0</v>
      </c>
      <c r="M2353" s="1">
        <v>0</v>
      </c>
      <c r="N2353" s="1">
        <v>1145</v>
      </c>
      <c r="O2353" s="1">
        <f>N2353*4968</f>
        <v>5688360</v>
      </c>
      <c r="P2353" s="1">
        <v>0</v>
      </c>
      <c r="Q2353" s="1">
        <f t="shared" si="1324"/>
        <v>0</v>
      </c>
      <c r="R2353" s="1">
        <v>1558</v>
      </c>
      <c r="S2353" s="1">
        <f t="shared" si="1325"/>
        <v>5844058</v>
      </c>
      <c r="T2353" s="1">
        <v>0</v>
      </c>
      <c r="U2353" s="1">
        <v>50000</v>
      </c>
      <c r="V2353" s="1">
        <v>0</v>
      </c>
      <c r="W2353" s="1">
        <v>50000</v>
      </c>
      <c r="X2353" s="1">
        <v>0</v>
      </c>
      <c r="Y2353" s="1">
        <v>0</v>
      </c>
      <c r="Z2353" s="1">
        <v>0</v>
      </c>
      <c r="AA2353" s="1">
        <v>0</v>
      </c>
      <c r="AB2353" s="1">
        <v>0</v>
      </c>
      <c r="AC2353" s="1">
        <v>0</v>
      </c>
      <c r="AD2353" s="1">
        <v>0</v>
      </c>
    </row>
    <row r="2354" spans="1:30" s="20" customFormat="1" ht="36" customHeight="1" x14ac:dyDescent="0.25">
      <c r="A2354" s="2">
        <f t="shared" si="1322"/>
        <v>2271</v>
      </c>
      <c r="B2354" s="3">
        <f t="shared" si="1295"/>
        <v>2271</v>
      </c>
      <c r="C2354" s="19" t="s">
        <v>1413</v>
      </c>
      <c r="D2354" s="4">
        <f t="shared" si="1326"/>
        <v>35813291</v>
      </c>
      <c r="E2354" s="1">
        <f t="shared" si="1323"/>
        <v>24446941.000000004</v>
      </c>
      <c r="F2354" s="1">
        <f>804*6228.52</f>
        <v>5007730.08</v>
      </c>
      <c r="G2354" s="1">
        <f>1693*6228.52</f>
        <v>10544884.360000001</v>
      </c>
      <c r="H2354" s="1">
        <f>390*6228.52</f>
        <v>2429122.8000000003</v>
      </c>
      <c r="I2354" s="1">
        <f>571*6228.52</f>
        <v>3556484.9200000004</v>
      </c>
      <c r="J2354" s="1">
        <f>467*6228.52</f>
        <v>2908718.8400000003</v>
      </c>
      <c r="K2354" s="1">
        <v>0</v>
      </c>
      <c r="L2354" s="2">
        <v>0</v>
      </c>
      <c r="M2354" s="1">
        <v>0</v>
      </c>
      <c r="N2354" s="1">
        <v>1475</v>
      </c>
      <c r="O2354" s="1">
        <f>N2354*4968</f>
        <v>7327800</v>
      </c>
      <c r="P2354" s="1">
        <v>0</v>
      </c>
      <c r="Q2354" s="1">
        <f t="shared" si="1324"/>
        <v>0</v>
      </c>
      <c r="R2354" s="1">
        <v>1050</v>
      </c>
      <c r="S2354" s="1">
        <f t="shared" si="1325"/>
        <v>3938550</v>
      </c>
      <c r="T2354" s="1">
        <v>0</v>
      </c>
      <c r="U2354" s="1">
        <v>50000</v>
      </c>
      <c r="V2354" s="1">
        <v>0</v>
      </c>
      <c r="W2354" s="1">
        <v>50000</v>
      </c>
      <c r="X2354" s="1">
        <v>0</v>
      </c>
      <c r="Y2354" s="1">
        <v>0</v>
      </c>
      <c r="Z2354" s="1">
        <v>0</v>
      </c>
      <c r="AA2354" s="1">
        <v>0</v>
      </c>
      <c r="AB2354" s="1">
        <v>0</v>
      </c>
      <c r="AC2354" s="1">
        <v>0</v>
      </c>
      <c r="AD2354" s="1">
        <v>0</v>
      </c>
    </row>
    <row r="2355" spans="1:30" s="20" customFormat="1" ht="36" customHeight="1" x14ac:dyDescent="0.25">
      <c r="A2355" s="2">
        <f t="shared" si="1322"/>
        <v>2272</v>
      </c>
      <c r="B2355" s="3">
        <f t="shared" si="1295"/>
        <v>2272</v>
      </c>
      <c r="C2355" s="19" t="s">
        <v>1414</v>
      </c>
      <c r="D2355" s="4">
        <f t="shared" si="1326"/>
        <v>15032622.5</v>
      </c>
      <c r="E2355" s="1">
        <f t="shared" si="1323"/>
        <v>5925572.5000000009</v>
      </c>
      <c r="F2355" s="1">
        <f>804*1509.7</f>
        <v>1213798.8</v>
      </c>
      <c r="G2355" s="1">
        <f>1693*1509.7</f>
        <v>2555922.1</v>
      </c>
      <c r="H2355" s="1">
        <f>390*1509.7</f>
        <v>588783</v>
      </c>
      <c r="I2355" s="1">
        <f>571*1509.7</f>
        <v>862038.70000000007</v>
      </c>
      <c r="J2355" s="1">
        <f>467*1509.7</f>
        <v>705029.9</v>
      </c>
      <c r="K2355" s="1">
        <v>0</v>
      </c>
      <c r="L2355" s="2">
        <v>0</v>
      </c>
      <c r="M2355" s="1">
        <v>0</v>
      </c>
      <c r="N2355" s="1">
        <v>775</v>
      </c>
      <c r="O2355" s="1">
        <f>N2355*7750</f>
        <v>6006250</v>
      </c>
      <c r="P2355" s="1">
        <v>0</v>
      </c>
      <c r="Q2355" s="1">
        <f t="shared" si="1324"/>
        <v>0</v>
      </c>
      <c r="R2355" s="1">
        <v>800</v>
      </c>
      <c r="S2355" s="1">
        <f t="shared" si="1325"/>
        <v>3000800</v>
      </c>
      <c r="T2355" s="1">
        <v>0</v>
      </c>
      <c r="U2355" s="1">
        <v>50000</v>
      </c>
      <c r="V2355" s="1">
        <v>0</v>
      </c>
      <c r="W2355" s="1">
        <v>50000</v>
      </c>
      <c r="X2355" s="1">
        <v>0</v>
      </c>
      <c r="Y2355" s="1">
        <v>0</v>
      </c>
      <c r="Z2355" s="1">
        <v>0</v>
      </c>
      <c r="AA2355" s="1">
        <v>0</v>
      </c>
      <c r="AB2355" s="1">
        <v>0</v>
      </c>
      <c r="AC2355" s="1">
        <v>0</v>
      </c>
      <c r="AD2355" s="1">
        <v>0</v>
      </c>
    </row>
    <row r="2356" spans="1:30" s="20" customFormat="1" ht="36" customHeight="1" x14ac:dyDescent="0.25">
      <c r="A2356" s="2">
        <f t="shared" si="1322"/>
        <v>2273</v>
      </c>
      <c r="B2356" s="6">
        <f t="shared" si="1295"/>
        <v>2273</v>
      </c>
      <c r="C2356" s="19" t="s">
        <v>275</v>
      </c>
      <c r="D2356" s="4">
        <f t="shared" si="1326"/>
        <v>2671516.7400000002</v>
      </c>
      <c r="E2356" s="1">
        <f>SUM(F2356:K2356)</f>
        <v>2571516.7400000002</v>
      </c>
      <c r="F2356" s="1">
        <v>0</v>
      </c>
      <c r="G2356" s="1">
        <f>1693*823.94</f>
        <v>1394930.4200000002</v>
      </c>
      <c r="H2356" s="1">
        <f>390*823.94</f>
        <v>321336.60000000003</v>
      </c>
      <c r="I2356" s="1">
        <f>571*823.94</f>
        <v>470469.74000000005</v>
      </c>
      <c r="J2356" s="1">
        <f>467*823.94</f>
        <v>384779.98000000004</v>
      </c>
      <c r="K2356" s="1">
        <v>0</v>
      </c>
      <c r="L2356" s="2">
        <v>0</v>
      </c>
      <c r="M2356" s="1">
        <v>0</v>
      </c>
      <c r="N2356" s="1">
        <v>0</v>
      </c>
      <c r="O2356" s="1">
        <v>0</v>
      </c>
      <c r="P2356" s="1">
        <v>0</v>
      </c>
      <c r="Q2356" s="1">
        <f>P2356*1400</f>
        <v>0</v>
      </c>
      <c r="R2356" s="1">
        <v>0</v>
      </c>
      <c r="S2356" s="1">
        <f>R2356*3751</f>
        <v>0</v>
      </c>
      <c r="T2356" s="1">
        <v>0</v>
      </c>
      <c r="U2356" s="1">
        <v>50000</v>
      </c>
      <c r="V2356" s="1">
        <v>0</v>
      </c>
      <c r="W2356" s="1">
        <v>50000</v>
      </c>
      <c r="X2356" s="1">
        <v>0</v>
      </c>
      <c r="Y2356" s="1">
        <v>0</v>
      </c>
      <c r="Z2356" s="1">
        <v>0</v>
      </c>
      <c r="AA2356" s="1">
        <v>0</v>
      </c>
      <c r="AB2356" s="1">
        <v>0</v>
      </c>
      <c r="AC2356" s="1">
        <v>0</v>
      </c>
      <c r="AD2356" s="1">
        <v>0</v>
      </c>
    </row>
    <row r="2357" spans="1:30" s="20" customFormat="1" ht="36" customHeight="1" x14ac:dyDescent="0.25">
      <c r="A2357" s="2">
        <f t="shared" si="1322"/>
        <v>2274</v>
      </c>
      <c r="B2357" s="3">
        <f t="shared" si="1295"/>
        <v>2274</v>
      </c>
      <c r="C2357" s="19" t="s">
        <v>2566</v>
      </c>
      <c r="D2357" s="4">
        <f t="shared" si="1326"/>
        <v>3975449.4000000004</v>
      </c>
      <c r="E2357" s="1">
        <f t="shared" ref="E2357:E2463" si="1331">SUM(F2357:K2357)</f>
        <v>1259749.4000000001</v>
      </c>
      <c r="F2357" s="1">
        <f>804*364.3</f>
        <v>292897.2</v>
      </c>
      <c r="G2357" s="1">
        <f>1693*364.3</f>
        <v>616759.9</v>
      </c>
      <c r="H2357" s="1">
        <f>390*364.3</f>
        <v>142077</v>
      </c>
      <c r="I2357" s="1">
        <f>571*364.3</f>
        <v>208015.30000000002</v>
      </c>
      <c r="J2357" s="1">
        <v>0</v>
      </c>
      <c r="K2357" s="1">
        <v>0</v>
      </c>
      <c r="L2357" s="2">
        <v>0</v>
      </c>
      <c r="M2357" s="1">
        <v>0</v>
      </c>
      <c r="N2357" s="1">
        <v>300</v>
      </c>
      <c r="O2357" s="1">
        <f>N2357*4968</f>
        <v>1490400</v>
      </c>
      <c r="P2357" s="1">
        <v>0</v>
      </c>
      <c r="Q2357" s="1">
        <f t="shared" si="1324"/>
        <v>0</v>
      </c>
      <c r="R2357" s="1">
        <v>300</v>
      </c>
      <c r="S2357" s="1">
        <f t="shared" si="1325"/>
        <v>1125300</v>
      </c>
      <c r="T2357" s="1">
        <v>0</v>
      </c>
      <c r="U2357" s="1">
        <v>50000</v>
      </c>
      <c r="V2357" s="1">
        <v>0</v>
      </c>
      <c r="W2357" s="1">
        <v>50000</v>
      </c>
      <c r="X2357" s="1">
        <v>0</v>
      </c>
      <c r="Y2357" s="1">
        <v>0</v>
      </c>
      <c r="Z2357" s="1">
        <v>0</v>
      </c>
      <c r="AA2357" s="1">
        <v>0</v>
      </c>
      <c r="AB2357" s="1">
        <v>0</v>
      </c>
      <c r="AC2357" s="1">
        <v>0</v>
      </c>
      <c r="AD2357" s="1">
        <v>0</v>
      </c>
    </row>
    <row r="2358" spans="1:30" s="20" customFormat="1" ht="36" customHeight="1" x14ac:dyDescent="0.25">
      <c r="A2358" s="2">
        <f t="shared" si="1322"/>
        <v>2275</v>
      </c>
      <c r="B2358" s="3">
        <f t="shared" ref="B2358" si="1332">A2358</f>
        <v>2275</v>
      </c>
      <c r="C2358" s="30" t="s">
        <v>830</v>
      </c>
      <c r="D2358" s="4">
        <f t="shared" si="1326"/>
        <v>7398257</v>
      </c>
      <c r="E2358" s="1">
        <f t="shared" ref="E2358" si="1333">SUM(F2358:K2358)</f>
        <v>2366247</v>
      </c>
      <c r="F2358" s="1">
        <f>804*705.5</f>
        <v>567222</v>
      </c>
      <c r="G2358" s="1">
        <f>1693*705.5</f>
        <v>1194411.5</v>
      </c>
      <c r="H2358" s="1">
        <f>390*705.5</f>
        <v>275145</v>
      </c>
      <c r="I2358" s="1">
        <v>0</v>
      </c>
      <c r="J2358" s="1">
        <f>467*705.5</f>
        <v>329468.5</v>
      </c>
      <c r="K2358" s="1">
        <v>0</v>
      </c>
      <c r="L2358" s="2">
        <v>0</v>
      </c>
      <c r="M2358" s="1">
        <v>0</v>
      </c>
      <c r="N2358" s="1">
        <v>396</v>
      </c>
      <c r="O2358" s="1">
        <f t="shared" ref="O2358:O2366" si="1334">N2358*7750</f>
        <v>3069000</v>
      </c>
      <c r="P2358" s="1">
        <v>0</v>
      </c>
      <c r="Q2358" s="1">
        <f t="shared" ref="Q2358" si="1335">P2358*1400</f>
        <v>0</v>
      </c>
      <c r="R2358" s="1">
        <v>510</v>
      </c>
      <c r="S2358" s="1">
        <f t="shared" ref="S2358" si="1336">R2358*3751</f>
        <v>1913010</v>
      </c>
      <c r="T2358" s="1">
        <v>0</v>
      </c>
      <c r="U2358" s="1">
        <v>50000</v>
      </c>
      <c r="V2358" s="1">
        <v>0</v>
      </c>
      <c r="W2358" s="1">
        <v>0</v>
      </c>
      <c r="X2358" s="1">
        <v>0</v>
      </c>
      <c r="Y2358" s="1">
        <v>0</v>
      </c>
      <c r="Z2358" s="1">
        <v>0</v>
      </c>
      <c r="AA2358" s="1">
        <v>0</v>
      </c>
      <c r="AB2358" s="1">
        <v>0</v>
      </c>
      <c r="AC2358" s="1">
        <v>0</v>
      </c>
      <c r="AD2358" s="1">
        <v>0</v>
      </c>
    </row>
    <row r="2359" spans="1:30" s="20" customFormat="1" ht="36" customHeight="1" x14ac:dyDescent="0.25">
      <c r="A2359" s="2">
        <f t="shared" si="1322"/>
        <v>2276</v>
      </c>
      <c r="B2359" s="2">
        <f t="shared" si="1295"/>
        <v>2276</v>
      </c>
      <c r="C2359" s="30" t="s">
        <v>831</v>
      </c>
      <c r="D2359" s="39">
        <f t="shared" si="1326"/>
        <v>7006074.1999999993</v>
      </c>
      <c r="E2359" s="1">
        <f t="shared" si="1331"/>
        <v>2583586.1999999997</v>
      </c>
      <c r="F2359" s="1">
        <f>804*770.3</f>
        <v>619321.19999999995</v>
      </c>
      <c r="G2359" s="1">
        <f>1693*770.3</f>
        <v>1304117.8999999999</v>
      </c>
      <c r="H2359" s="1">
        <f>390*770.3</f>
        <v>300417</v>
      </c>
      <c r="I2359" s="1">
        <v>0</v>
      </c>
      <c r="J2359" s="1">
        <f>467*770.3</f>
        <v>359730.1</v>
      </c>
      <c r="K2359" s="1">
        <v>0</v>
      </c>
      <c r="L2359" s="2">
        <v>0</v>
      </c>
      <c r="M2359" s="1">
        <v>0</v>
      </c>
      <c r="N2359" s="1">
        <v>328</v>
      </c>
      <c r="O2359" s="1">
        <f t="shared" si="1334"/>
        <v>2542000</v>
      </c>
      <c r="P2359" s="1">
        <v>0</v>
      </c>
      <c r="Q2359" s="1">
        <f t="shared" si="1324"/>
        <v>0</v>
      </c>
      <c r="R2359" s="1">
        <v>488</v>
      </c>
      <c r="S2359" s="1">
        <f t="shared" si="1325"/>
        <v>1830488</v>
      </c>
      <c r="T2359" s="1">
        <v>0</v>
      </c>
      <c r="U2359" s="1">
        <v>50000</v>
      </c>
      <c r="V2359" s="1">
        <v>0</v>
      </c>
      <c r="W2359" s="1">
        <v>0</v>
      </c>
      <c r="X2359" s="1">
        <v>0</v>
      </c>
      <c r="Y2359" s="1">
        <v>0</v>
      </c>
      <c r="Z2359" s="1">
        <v>0</v>
      </c>
      <c r="AA2359" s="1">
        <v>0</v>
      </c>
      <c r="AB2359" s="1">
        <v>0</v>
      </c>
      <c r="AC2359" s="1">
        <v>0</v>
      </c>
      <c r="AD2359" s="1">
        <v>0</v>
      </c>
    </row>
    <row r="2360" spans="1:30" s="20" customFormat="1" ht="36" customHeight="1" x14ac:dyDescent="0.25">
      <c r="A2360" s="2">
        <f t="shared" si="1322"/>
        <v>2277</v>
      </c>
      <c r="B2360" s="2">
        <f t="shared" si="1295"/>
        <v>2277</v>
      </c>
      <c r="C2360" s="19" t="s">
        <v>1415</v>
      </c>
      <c r="D2360" s="39">
        <f t="shared" si="1326"/>
        <v>11411247.5</v>
      </c>
      <c r="E2360" s="1">
        <f t="shared" si="1331"/>
        <v>5040877.4999999991</v>
      </c>
      <c r="F2360" s="1">
        <f>804*1284.3</f>
        <v>1032577.2</v>
      </c>
      <c r="G2360" s="1">
        <f>1693*1284.3</f>
        <v>2174319.9</v>
      </c>
      <c r="H2360" s="1">
        <f>390*1284.3</f>
        <v>500877</v>
      </c>
      <c r="I2360" s="1">
        <f>571*1284.3</f>
        <v>733335.29999999993</v>
      </c>
      <c r="J2360" s="1">
        <f>467*1284.3</f>
        <v>599768.1</v>
      </c>
      <c r="K2360" s="1">
        <v>0</v>
      </c>
      <c r="L2360" s="2">
        <v>0</v>
      </c>
      <c r="M2360" s="1">
        <v>0</v>
      </c>
      <c r="N2360" s="1">
        <v>630</v>
      </c>
      <c r="O2360" s="1">
        <f t="shared" si="1334"/>
        <v>4882500</v>
      </c>
      <c r="P2360" s="1">
        <v>0</v>
      </c>
      <c r="Q2360" s="1">
        <f t="shared" si="1324"/>
        <v>0</v>
      </c>
      <c r="R2360" s="1">
        <v>370</v>
      </c>
      <c r="S2360" s="1">
        <f t="shared" si="1325"/>
        <v>1387870</v>
      </c>
      <c r="T2360" s="1">
        <v>0</v>
      </c>
      <c r="U2360" s="1">
        <v>50000</v>
      </c>
      <c r="V2360" s="1">
        <v>0</v>
      </c>
      <c r="W2360" s="1">
        <v>50000</v>
      </c>
      <c r="X2360" s="1">
        <v>0</v>
      </c>
      <c r="Y2360" s="1">
        <v>0</v>
      </c>
      <c r="Z2360" s="1">
        <v>0</v>
      </c>
      <c r="AA2360" s="1">
        <v>0</v>
      </c>
      <c r="AB2360" s="1">
        <v>0</v>
      </c>
      <c r="AC2360" s="1">
        <v>0</v>
      </c>
      <c r="AD2360" s="1">
        <v>0</v>
      </c>
    </row>
    <row r="2361" spans="1:30" s="20" customFormat="1" ht="36" customHeight="1" x14ac:dyDescent="0.25">
      <c r="A2361" s="2">
        <f t="shared" si="1322"/>
        <v>2278</v>
      </c>
      <c r="B2361" s="3">
        <f t="shared" si="1295"/>
        <v>2278</v>
      </c>
      <c r="C2361" s="30" t="s">
        <v>834</v>
      </c>
      <c r="D2361" s="4">
        <f t="shared" si="1326"/>
        <v>7306991.5999999996</v>
      </c>
      <c r="E2361" s="1">
        <f t="shared" si="1331"/>
        <v>391266.6</v>
      </c>
      <c r="F2361" s="1">
        <f>804*486.65</f>
        <v>391266.6</v>
      </c>
      <c r="G2361" s="1">
        <v>0</v>
      </c>
      <c r="H2361" s="1">
        <v>0</v>
      </c>
      <c r="I2361" s="1">
        <v>0</v>
      </c>
      <c r="J2361" s="1">
        <v>0</v>
      </c>
      <c r="K2361" s="1">
        <v>0</v>
      </c>
      <c r="L2361" s="2">
        <v>0</v>
      </c>
      <c r="M2361" s="1">
        <v>0</v>
      </c>
      <c r="N2361" s="1">
        <v>535</v>
      </c>
      <c r="O2361" s="1">
        <f t="shared" si="1334"/>
        <v>4146250</v>
      </c>
      <c r="P2361" s="1">
        <v>0</v>
      </c>
      <c r="Q2361" s="1">
        <f t="shared" si="1324"/>
        <v>0</v>
      </c>
      <c r="R2361" s="1">
        <v>725</v>
      </c>
      <c r="S2361" s="1">
        <f t="shared" si="1325"/>
        <v>2719475</v>
      </c>
      <c r="T2361" s="1">
        <v>0</v>
      </c>
      <c r="U2361" s="1">
        <v>50000</v>
      </c>
      <c r="V2361" s="1">
        <v>0</v>
      </c>
      <c r="W2361" s="1">
        <v>0</v>
      </c>
      <c r="X2361" s="1">
        <v>0</v>
      </c>
      <c r="Y2361" s="1">
        <v>0</v>
      </c>
      <c r="Z2361" s="1">
        <v>0</v>
      </c>
      <c r="AA2361" s="1">
        <v>0</v>
      </c>
      <c r="AB2361" s="1">
        <v>0</v>
      </c>
      <c r="AC2361" s="1">
        <v>0</v>
      </c>
      <c r="AD2361" s="1">
        <v>0</v>
      </c>
    </row>
    <row r="2362" spans="1:30" s="20" customFormat="1" ht="36" customHeight="1" x14ac:dyDescent="0.25">
      <c r="A2362" s="2">
        <f t="shared" si="1322"/>
        <v>2279</v>
      </c>
      <c r="B2362" s="3">
        <f t="shared" ref="B2362" si="1337">A2362</f>
        <v>2279</v>
      </c>
      <c r="C2362" s="30" t="s">
        <v>835</v>
      </c>
      <c r="D2362" s="4">
        <f t="shared" si="1326"/>
        <v>7431652.7999999998</v>
      </c>
      <c r="E2362" s="1">
        <f t="shared" ref="E2362" si="1338">SUM(F2362:K2362)</f>
        <v>378442.8</v>
      </c>
      <c r="F2362" s="1">
        <f>804*470.7</f>
        <v>378442.8</v>
      </c>
      <c r="G2362" s="1">
        <v>0</v>
      </c>
      <c r="H2362" s="1">
        <v>0</v>
      </c>
      <c r="I2362" s="1">
        <v>0</v>
      </c>
      <c r="J2362" s="1">
        <v>0</v>
      </c>
      <c r="K2362" s="1">
        <v>0</v>
      </c>
      <c r="L2362" s="2">
        <v>0</v>
      </c>
      <c r="M2362" s="1">
        <v>0</v>
      </c>
      <c r="N2362" s="1">
        <v>560</v>
      </c>
      <c r="O2362" s="1">
        <f t="shared" si="1334"/>
        <v>4340000</v>
      </c>
      <c r="P2362" s="1">
        <v>0</v>
      </c>
      <c r="Q2362" s="1">
        <f t="shared" ref="Q2362" si="1339">P2362*1400</f>
        <v>0</v>
      </c>
      <c r="R2362" s="1">
        <v>710</v>
      </c>
      <c r="S2362" s="1">
        <f t="shared" ref="S2362" si="1340">R2362*3751</f>
        <v>2663210</v>
      </c>
      <c r="T2362" s="1">
        <v>0</v>
      </c>
      <c r="U2362" s="1">
        <v>50000</v>
      </c>
      <c r="V2362" s="1">
        <v>0</v>
      </c>
      <c r="W2362" s="1">
        <v>0</v>
      </c>
      <c r="X2362" s="1">
        <v>0</v>
      </c>
      <c r="Y2362" s="1">
        <v>0</v>
      </c>
      <c r="Z2362" s="1">
        <v>0</v>
      </c>
      <c r="AA2362" s="1">
        <v>0</v>
      </c>
      <c r="AB2362" s="1">
        <v>0</v>
      </c>
      <c r="AC2362" s="1">
        <v>0</v>
      </c>
      <c r="AD2362" s="1">
        <v>0</v>
      </c>
    </row>
    <row r="2363" spans="1:30" s="20" customFormat="1" ht="36" customHeight="1" x14ac:dyDescent="0.25">
      <c r="A2363" s="2">
        <f t="shared" si="1322"/>
        <v>2280</v>
      </c>
      <c r="B2363" s="3">
        <f t="shared" si="1295"/>
        <v>2280</v>
      </c>
      <c r="C2363" s="19" t="s">
        <v>2567</v>
      </c>
      <c r="D2363" s="4">
        <f t="shared" si="1326"/>
        <v>5499070</v>
      </c>
      <c r="E2363" s="1">
        <f t="shared" si="1331"/>
        <v>1833759.9999999998</v>
      </c>
      <c r="F2363" s="1">
        <f>804*467.2</f>
        <v>375628.79999999999</v>
      </c>
      <c r="G2363" s="1">
        <f>1693*467.2</f>
        <v>790969.6</v>
      </c>
      <c r="H2363" s="1">
        <f>390*467.2</f>
        <v>182208</v>
      </c>
      <c r="I2363" s="1">
        <f>571*467.2</f>
        <v>266771.20000000001</v>
      </c>
      <c r="J2363" s="1">
        <f>467*467.2</f>
        <v>218182.39999999999</v>
      </c>
      <c r="K2363" s="1">
        <v>0</v>
      </c>
      <c r="L2363" s="2">
        <v>0</v>
      </c>
      <c r="M2363" s="1">
        <v>0</v>
      </c>
      <c r="N2363" s="1">
        <v>310</v>
      </c>
      <c r="O2363" s="1">
        <f t="shared" si="1334"/>
        <v>2402500</v>
      </c>
      <c r="P2363" s="1">
        <v>0</v>
      </c>
      <c r="Q2363" s="1">
        <f t="shared" si="1324"/>
        <v>0</v>
      </c>
      <c r="R2363" s="1">
        <v>310</v>
      </c>
      <c r="S2363" s="1">
        <f t="shared" si="1325"/>
        <v>1162810</v>
      </c>
      <c r="T2363" s="1">
        <v>0</v>
      </c>
      <c r="U2363" s="1">
        <v>50000</v>
      </c>
      <c r="V2363" s="1">
        <v>0</v>
      </c>
      <c r="W2363" s="1">
        <v>50000</v>
      </c>
      <c r="X2363" s="1">
        <v>0</v>
      </c>
      <c r="Y2363" s="1">
        <v>0</v>
      </c>
      <c r="Z2363" s="1">
        <v>0</v>
      </c>
      <c r="AA2363" s="1">
        <v>0</v>
      </c>
      <c r="AB2363" s="1">
        <v>0</v>
      </c>
      <c r="AC2363" s="1">
        <v>0</v>
      </c>
      <c r="AD2363" s="1">
        <v>0</v>
      </c>
    </row>
    <row r="2364" spans="1:30" s="20" customFormat="1" ht="36" customHeight="1" x14ac:dyDescent="0.25">
      <c r="A2364" s="2">
        <f t="shared" si="1322"/>
        <v>2281</v>
      </c>
      <c r="B2364" s="3">
        <f t="shared" si="1295"/>
        <v>2281</v>
      </c>
      <c r="C2364" s="19" t="s">
        <v>2568</v>
      </c>
      <c r="D2364" s="4">
        <f t="shared" si="1326"/>
        <v>5705525</v>
      </c>
      <c r="E2364" s="1">
        <f t="shared" si="1331"/>
        <v>2040215</v>
      </c>
      <c r="F2364" s="1">
        <f>804*519.8</f>
        <v>417919.19999999995</v>
      </c>
      <c r="G2364" s="1">
        <f>1693*519.8</f>
        <v>880021.39999999991</v>
      </c>
      <c r="H2364" s="1">
        <f>390*519.8</f>
        <v>202721.99999999997</v>
      </c>
      <c r="I2364" s="1">
        <f>571*519.8</f>
        <v>296805.8</v>
      </c>
      <c r="J2364" s="1">
        <f>467*519.8</f>
        <v>242746.59999999998</v>
      </c>
      <c r="K2364" s="1">
        <v>0</v>
      </c>
      <c r="L2364" s="2">
        <v>0</v>
      </c>
      <c r="M2364" s="1">
        <v>0</v>
      </c>
      <c r="N2364" s="1">
        <v>310</v>
      </c>
      <c r="O2364" s="1">
        <f t="shared" si="1334"/>
        <v>2402500</v>
      </c>
      <c r="P2364" s="1">
        <v>0</v>
      </c>
      <c r="Q2364" s="1">
        <f t="shared" si="1324"/>
        <v>0</v>
      </c>
      <c r="R2364" s="1">
        <v>310</v>
      </c>
      <c r="S2364" s="1">
        <f t="shared" si="1325"/>
        <v>1162810</v>
      </c>
      <c r="T2364" s="1">
        <v>0</v>
      </c>
      <c r="U2364" s="1">
        <v>50000</v>
      </c>
      <c r="V2364" s="1">
        <v>0</v>
      </c>
      <c r="W2364" s="1">
        <v>50000</v>
      </c>
      <c r="X2364" s="1">
        <v>0</v>
      </c>
      <c r="Y2364" s="1">
        <v>0</v>
      </c>
      <c r="Z2364" s="1">
        <v>0</v>
      </c>
      <c r="AA2364" s="1">
        <v>0</v>
      </c>
      <c r="AB2364" s="1">
        <v>0</v>
      </c>
      <c r="AC2364" s="1">
        <v>0</v>
      </c>
      <c r="AD2364" s="1">
        <v>0</v>
      </c>
    </row>
    <row r="2365" spans="1:30" s="20" customFormat="1" ht="36" customHeight="1" x14ac:dyDescent="0.25">
      <c r="A2365" s="2">
        <f t="shared" si="1322"/>
        <v>2282</v>
      </c>
      <c r="B2365" s="3">
        <f t="shared" si="1295"/>
        <v>2282</v>
      </c>
      <c r="C2365" s="19" t="s">
        <v>2569</v>
      </c>
      <c r="D2365" s="4">
        <f t="shared" si="1326"/>
        <v>15583147.5</v>
      </c>
      <c r="E2365" s="1">
        <f t="shared" si="1331"/>
        <v>6300017.4999999991</v>
      </c>
      <c r="F2365" s="1">
        <f>804*1605.1</f>
        <v>1290500.3999999999</v>
      </c>
      <c r="G2365" s="1">
        <f>1693*1605.1</f>
        <v>2717434.3</v>
      </c>
      <c r="H2365" s="1">
        <f>390*1605.1</f>
        <v>625989</v>
      </c>
      <c r="I2365" s="1">
        <f>571*1605.1</f>
        <v>916512.1</v>
      </c>
      <c r="J2365" s="1">
        <f>467*1605.1</f>
        <v>749581.7</v>
      </c>
      <c r="K2365" s="1">
        <v>0</v>
      </c>
      <c r="L2365" s="2">
        <v>0</v>
      </c>
      <c r="M2365" s="1">
        <v>0</v>
      </c>
      <c r="N2365" s="1">
        <v>880</v>
      </c>
      <c r="O2365" s="1">
        <f t="shared" si="1334"/>
        <v>6820000</v>
      </c>
      <c r="P2365" s="1">
        <v>0</v>
      </c>
      <c r="Q2365" s="1">
        <f t="shared" si="1324"/>
        <v>0</v>
      </c>
      <c r="R2365" s="1">
        <v>630</v>
      </c>
      <c r="S2365" s="1">
        <f t="shared" si="1325"/>
        <v>2363130</v>
      </c>
      <c r="T2365" s="1">
        <v>0</v>
      </c>
      <c r="U2365" s="1">
        <v>50000</v>
      </c>
      <c r="V2365" s="1">
        <v>0</v>
      </c>
      <c r="W2365" s="1">
        <v>50000</v>
      </c>
      <c r="X2365" s="1">
        <v>0</v>
      </c>
      <c r="Y2365" s="1">
        <v>0</v>
      </c>
      <c r="Z2365" s="1">
        <v>0</v>
      </c>
      <c r="AA2365" s="1">
        <v>0</v>
      </c>
      <c r="AB2365" s="1">
        <v>0</v>
      </c>
      <c r="AC2365" s="1">
        <v>0</v>
      </c>
      <c r="AD2365" s="1">
        <v>0</v>
      </c>
    </row>
    <row r="2366" spans="1:30" s="20" customFormat="1" ht="36" customHeight="1" x14ac:dyDescent="0.25">
      <c r="A2366" s="2">
        <f t="shared" si="1322"/>
        <v>2283</v>
      </c>
      <c r="B2366" s="3">
        <f t="shared" si="1295"/>
        <v>2283</v>
      </c>
      <c r="C2366" s="19" t="s">
        <v>2570</v>
      </c>
      <c r="D2366" s="4">
        <f t="shared" si="1326"/>
        <v>9377292.5</v>
      </c>
      <c r="E2366" s="1">
        <f t="shared" si="1331"/>
        <v>3589412.5</v>
      </c>
      <c r="F2366" s="1">
        <f>804*914.5</f>
        <v>735258</v>
      </c>
      <c r="G2366" s="1">
        <f>1693*914.5</f>
        <v>1548248.5</v>
      </c>
      <c r="H2366" s="1">
        <f>390*914.5</f>
        <v>356655</v>
      </c>
      <c r="I2366" s="1">
        <f>571*914.5</f>
        <v>522179.5</v>
      </c>
      <c r="J2366" s="1">
        <f>467*914.5</f>
        <v>427071.5</v>
      </c>
      <c r="K2366" s="1">
        <v>0</v>
      </c>
      <c r="L2366" s="2">
        <v>0</v>
      </c>
      <c r="M2366" s="1">
        <v>0</v>
      </c>
      <c r="N2366" s="1">
        <v>550</v>
      </c>
      <c r="O2366" s="1">
        <f t="shared" si="1334"/>
        <v>4262500</v>
      </c>
      <c r="P2366" s="1">
        <v>0</v>
      </c>
      <c r="Q2366" s="1">
        <f t="shared" si="1324"/>
        <v>0</v>
      </c>
      <c r="R2366" s="1">
        <v>380</v>
      </c>
      <c r="S2366" s="1">
        <f t="shared" si="1325"/>
        <v>1425380</v>
      </c>
      <c r="T2366" s="1">
        <v>0</v>
      </c>
      <c r="U2366" s="1">
        <v>50000</v>
      </c>
      <c r="V2366" s="1">
        <v>0</v>
      </c>
      <c r="W2366" s="1">
        <v>50000</v>
      </c>
      <c r="X2366" s="1">
        <v>0</v>
      </c>
      <c r="Y2366" s="1">
        <v>0</v>
      </c>
      <c r="Z2366" s="1">
        <v>0</v>
      </c>
      <c r="AA2366" s="1">
        <v>0</v>
      </c>
      <c r="AB2366" s="1">
        <v>0</v>
      </c>
      <c r="AC2366" s="1">
        <v>0</v>
      </c>
      <c r="AD2366" s="1">
        <v>0</v>
      </c>
    </row>
    <row r="2367" spans="1:30" s="20" customFormat="1" ht="36" customHeight="1" x14ac:dyDescent="0.25">
      <c r="A2367" s="2">
        <f t="shared" si="1322"/>
        <v>2284</v>
      </c>
      <c r="B2367" s="6">
        <f t="shared" si="1295"/>
        <v>2284</v>
      </c>
      <c r="C2367" s="19" t="s">
        <v>2155</v>
      </c>
      <c r="D2367" s="4">
        <f>E2367+M2367+O2367+Q2367+S2367+T2367+U2367+V2367+X2367+W2367+Z2367+AA2367+AB2367+AC2367+AD2367</f>
        <v>4973520</v>
      </c>
      <c r="E2367" s="1">
        <f t="shared" si="1331"/>
        <v>4923520</v>
      </c>
      <c r="F2367" s="1">
        <f>804*1254.4</f>
        <v>1008537.6000000001</v>
      </c>
      <c r="G2367" s="1">
        <f>1693*1254.4</f>
        <v>2123699.2000000002</v>
      </c>
      <c r="H2367" s="1">
        <f>390*1254.4</f>
        <v>489216.00000000006</v>
      </c>
      <c r="I2367" s="1">
        <f>571*1254.4</f>
        <v>716262.40000000002</v>
      </c>
      <c r="J2367" s="1">
        <f>467*1254.4</f>
        <v>585804.80000000005</v>
      </c>
      <c r="K2367" s="1">
        <v>0</v>
      </c>
      <c r="L2367" s="2">
        <v>0</v>
      </c>
      <c r="M2367" s="1">
        <v>0</v>
      </c>
      <c r="N2367" s="1">
        <v>0</v>
      </c>
      <c r="O2367" s="1">
        <v>0</v>
      </c>
      <c r="P2367" s="1">
        <v>0</v>
      </c>
      <c r="Q2367" s="1">
        <f t="shared" si="1324"/>
        <v>0</v>
      </c>
      <c r="R2367" s="1">
        <v>0</v>
      </c>
      <c r="S2367" s="1">
        <f t="shared" si="1325"/>
        <v>0</v>
      </c>
      <c r="T2367" s="1">
        <v>0</v>
      </c>
      <c r="U2367" s="1">
        <v>50000</v>
      </c>
      <c r="V2367" s="1">
        <v>0</v>
      </c>
      <c r="W2367" s="1">
        <v>0</v>
      </c>
      <c r="X2367" s="1">
        <v>0</v>
      </c>
      <c r="Y2367" s="1">
        <v>0</v>
      </c>
      <c r="Z2367" s="1">
        <v>0</v>
      </c>
      <c r="AA2367" s="1">
        <v>0</v>
      </c>
      <c r="AB2367" s="1">
        <v>0</v>
      </c>
      <c r="AC2367" s="1">
        <v>0</v>
      </c>
      <c r="AD2367" s="1">
        <v>0</v>
      </c>
    </row>
    <row r="2368" spans="1:30" s="20" customFormat="1" ht="36" customHeight="1" x14ac:dyDescent="0.25">
      <c r="A2368" s="2">
        <f t="shared" si="1322"/>
        <v>2285</v>
      </c>
      <c r="B2368" s="3">
        <f t="shared" ref="B2368:B2373" si="1341">A2368</f>
        <v>2285</v>
      </c>
      <c r="C2368" s="30" t="s">
        <v>2571</v>
      </c>
      <c r="D2368" s="4">
        <f t="shared" ref="D2368:D2382" si="1342">E2368+M2368+O2368+Q2368+S2368+T2368+U2368+V2368+W2368+X2368+Z2368+AA2368+AB2368+AC2368+AD2368</f>
        <v>29678917.5</v>
      </c>
      <c r="E2368" s="1">
        <f t="shared" ref="E2368:E2373" si="1343">SUM(F2368:K2368)</f>
        <v>13922367.499999998</v>
      </c>
      <c r="F2368" s="1">
        <f>804*3547.1</f>
        <v>2851868.4</v>
      </c>
      <c r="G2368" s="1">
        <f>1693*3547.1</f>
        <v>6005240.2999999998</v>
      </c>
      <c r="H2368" s="1">
        <f>390*3547.1</f>
        <v>1383369</v>
      </c>
      <c r="I2368" s="1">
        <f>571*3547.1</f>
        <v>2025394.0999999999</v>
      </c>
      <c r="J2368" s="1">
        <f>467*3547.1</f>
        <v>1656495.7</v>
      </c>
      <c r="K2368" s="1">
        <v>0</v>
      </c>
      <c r="L2368" s="2">
        <v>0</v>
      </c>
      <c r="M2368" s="1">
        <v>0</v>
      </c>
      <c r="N2368" s="1">
        <v>907</v>
      </c>
      <c r="O2368" s="1">
        <f>N2368*7750</f>
        <v>7029250</v>
      </c>
      <c r="P2368" s="1">
        <v>0</v>
      </c>
      <c r="Q2368" s="1">
        <f t="shared" ref="Q2368:Q2373" si="1344">P2368*1400</f>
        <v>0</v>
      </c>
      <c r="R2368" s="1">
        <v>2300</v>
      </c>
      <c r="S2368" s="1">
        <f t="shared" ref="S2368:S2373" si="1345">R2368*3751</f>
        <v>8627300</v>
      </c>
      <c r="T2368" s="1">
        <v>0</v>
      </c>
      <c r="U2368" s="1">
        <v>50000</v>
      </c>
      <c r="V2368" s="1">
        <v>0</v>
      </c>
      <c r="W2368" s="1">
        <v>50000</v>
      </c>
      <c r="X2368" s="1">
        <v>0</v>
      </c>
      <c r="Y2368" s="1">
        <v>0</v>
      </c>
      <c r="Z2368" s="1">
        <v>0</v>
      </c>
      <c r="AA2368" s="1">
        <v>0</v>
      </c>
      <c r="AB2368" s="1">
        <v>0</v>
      </c>
      <c r="AC2368" s="1">
        <v>0</v>
      </c>
      <c r="AD2368" s="1">
        <v>0</v>
      </c>
    </row>
    <row r="2369" spans="1:30" s="20" customFormat="1" ht="36" customHeight="1" x14ac:dyDescent="0.25">
      <c r="A2369" s="2">
        <f t="shared" si="1322"/>
        <v>2286</v>
      </c>
      <c r="B2369" s="3">
        <f t="shared" si="1341"/>
        <v>2286</v>
      </c>
      <c r="C2369" s="30" t="s">
        <v>2572</v>
      </c>
      <c r="D2369" s="4">
        <f t="shared" si="1342"/>
        <v>29743680</v>
      </c>
      <c r="E2369" s="1">
        <f t="shared" si="1343"/>
        <v>13987129.999999998</v>
      </c>
      <c r="F2369" s="1">
        <f>804*3563.6</f>
        <v>2865134.4</v>
      </c>
      <c r="G2369" s="1">
        <f>1693*3563.6</f>
        <v>6033174.7999999998</v>
      </c>
      <c r="H2369" s="1">
        <f>390*3563.6</f>
        <v>1389804</v>
      </c>
      <c r="I2369" s="1">
        <f>571*3563.6</f>
        <v>2034815.5999999999</v>
      </c>
      <c r="J2369" s="1">
        <f>467*3563.6</f>
        <v>1664201.2</v>
      </c>
      <c r="K2369" s="1">
        <v>0</v>
      </c>
      <c r="L2369" s="2">
        <v>0</v>
      </c>
      <c r="M2369" s="1">
        <v>0</v>
      </c>
      <c r="N2369" s="1">
        <v>907</v>
      </c>
      <c r="O2369" s="1">
        <f>N2369*7750</f>
        <v>7029250</v>
      </c>
      <c r="P2369" s="1">
        <v>0</v>
      </c>
      <c r="Q2369" s="1">
        <f t="shared" si="1344"/>
        <v>0</v>
      </c>
      <c r="R2369" s="1">
        <v>2300</v>
      </c>
      <c r="S2369" s="1">
        <f t="shared" si="1345"/>
        <v>8627300</v>
      </c>
      <c r="T2369" s="1">
        <v>0</v>
      </c>
      <c r="U2369" s="1">
        <v>50000</v>
      </c>
      <c r="V2369" s="1">
        <v>0</v>
      </c>
      <c r="W2369" s="1">
        <v>50000</v>
      </c>
      <c r="X2369" s="1">
        <v>0</v>
      </c>
      <c r="Y2369" s="1">
        <v>0</v>
      </c>
      <c r="Z2369" s="1">
        <v>0</v>
      </c>
      <c r="AA2369" s="1">
        <v>0</v>
      </c>
      <c r="AB2369" s="1">
        <v>0</v>
      </c>
      <c r="AC2369" s="1">
        <v>0</v>
      </c>
      <c r="AD2369" s="1">
        <v>0</v>
      </c>
    </row>
    <row r="2370" spans="1:30" s="20" customFormat="1" ht="36" customHeight="1" x14ac:dyDescent="0.25">
      <c r="A2370" s="2">
        <f t="shared" si="1322"/>
        <v>2287</v>
      </c>
      <c r="B2370" s="3">
        <f t="shared" si="1341"/>
        <v>2287</v>
      </c>
      <c r="C2370" s="30" t="s">
        <v>1421</v>
      </c>
      <c r="D2370" s="4">
        <f t="shared" si="1342"/>
        <v>25580659</v>
      </c>
      <c r="E2370" s="1">
        <f t="shared" si="1343"/>
        <v>14422804.999999998</v>
      </c>
      <c r="F2370" s="1">
        <f>804*3674.6</f>
        <v>2954378.4</v>
      </c>
      <c r="G2370" s="1">
        <f>1693*3674.6</f>
        <v>6221097.7999999998</v>
      </c>
      <c r="H2370" s="1">
        <f>390*3674.6</f>
        <v>1433094</v>
      </c>
      <c r="I2370" s="1">
        <f>571*3674.6</f>
        <v>2098196.6</v>
      </c>
      <c r="J2370" s="1">
        <f>467*3674.6</f>
        <v>1716038.2</v>
      </c>
      <c r="K2370" s="1">
        <v>0</v>
      </c>
      <c r="L2370" s="2">
        <v>0</v>
      </c>
      <c r="M2370" s="1">
        <v>0</v>
      </c>
      <c r="N2370" s="1">
        <v>678</v>
      </c>
      <c r="O2370" s="1">
        <f>N2370*4968</f>
        <v>3368304</v>
      </c>
      <c r="P2370" s="1">
        <v>0</v>
      </c>
      <c r="Q2370" s="1">
        <f t="shared" si="1344"/>
        <v>0</v>
      </c>
      <c r="R2370" s="1">
        <v>2050</v>
      </c>
      <c r="S2370" s="1">
        <f t="shared" si="1345"/>
        <v>7689550</v>
      </c>
      <c r="T2370" s="1">
        <v>0</v>
      </c>
      <c r="U2370" s="1">
        <v>50000</v>
      </c>
      <c r="V2370" s="1">
        <v>0</v>
      </c>
      <c r="W2370" s="1">
        <v>50000</v>
      </c>
      <c r="X2370" s="1">
        <v>0</v>
      </c>
      <c r="Y2370" s="1">
        <v>0</v>
      </c>
      <c r="Z2370" s="1">
        <v>0</v>
      </c>
      <c r="AA2370" s="1">
        <v>0</v>
      </c>
      <c r="AB2370" s="1">
        <v>0</v>
      </c>
      <c r="AC2370" s="1">
        <v>0</v>
      </c>
      <c r="AD2370" s="1">
        <v>0</v>
      </c>
    </row>
    <row r="2371" spans="1:30" s="20" customFormat="1" ht="36" customHeight="1" x14ac:dyDescent="0.25">
      <c r="A2371" s="2">
        <f t="shared" si="1322"/>
        <v>2288</v>
      </c>
      <c r="B2371" s="6">
        <f t="shared" si="1341"/>
        <v>2288</v>
      </c>
      <c r="C2371" s="19" t="s">
        <v>1931</v>
      </c>
      <c r="D2371" s="4">
        <f t="shared" si="1342"/>
        <v>3700000</v>
      </c>
      <c r="E2371" s="1">
        <f t="shared" si="1343"/>
        <v>0</v>
      </c>
      <c r="F2371" s="1">
        <v>0</v>
      </c>
      <c r="G2371" s="1">
        <v>0</v>
      </c>
      <c r="H2371" s="1">
        <v>0</v>
      </c>
      <c r="I2371" s="1">
        <v>0</v>
      </c>
      <c r="J2371" s="1">
        <v>0</v>
      </c>
      <c r="K2371" s="1">
        <v>0</v>
      </c>
      <c r="L2371" s="2">
        <v>1</v>
      </c>
      <c r="M2371" s="1">
        <f>L2371*3500000</f>
        <v>3500000</v>
      </c>
      <c r="N2371" s="1">
        <v>0</v>
      </c>
      <c r="O2371" s="1">
        <v>0</v>
      </c>
      <c r="P2371" s="1">
        <v>0</v>
      </c>
      <c r="Q2371" s="1">
        <f t="shared" si="1344"/>
        <v>0</v>
      </c>
      <c r="R2371" s="1">
        <v>0</v>
      </c>
      <c r="S2371" s="1">
        <f t="shared" si="1345"/>
        <v>0</v>
      </c>
      <c r="T2371" s="1">
        <v>0</v>
      </c>
      <c r="U2371" s="1">
        <v>200000</v>
      </c>
      <c r="V2371" s="1">
        <v>0</v>
      </c>
      <c r="W2371" s="1">
        <v>0</v>
      </c>
      <c r="X2371" s="1">
        <v>0</v>
      </c>
      <c r="Y2371" s="1">
        <v>0</v>
      </c>
      <c r="Z2371" s="1">
        <v>0</v>
      </c>
      <c r="AA2371" s="1">
        <v>0</v>
      </c>
      <c r="AB2371" s="1">
        <v>0</v>
      </c>
      <c r="AC2371" s="1">
        <v>0</v>
      </c>
      <c r="AD2371" s="1">
        <v>0</v>
      </c>
    </row>
    <row r="2372" spans="1:30" s="20" customFormat="1" ht="36" customHeight="1" x14ac:dyDescent="0.25">
      <c r="A2372" s="2">
        <f t="shared" si="1322"/>
        <v>2289</v>
      </c>
      <c r="B2372" s="3">
        <f t="shared" si="1341"/>
        <v>2289</v>
      </c>
      <c r="C2372" s="30" t="s">
        <v>1422</v>
      </c>
      <c r="D2372" s="4">
        <f t="shared" si="1342"/>
        <v>40232123</v>
      </c>
      <c r="E2372" s="1">
        <f t="shared" si="1343"/>
        <v>23177125</v>
      </c>
      <c r="F2372" s="1">
        <f>804*5905</f>
        <v>4747620</v>
      </c>
      <c r="G2372" s="1">
        <f>1693*5905</f>
        <v>9997165</v>
      </c>
      <c r="H2372" s="1">
        <f>390*5905</f>
        <v>2302950</v>
      </c>
      <c r="I2372" s="1">
        <f>571*5905</f>
        <v>3371755</v>
      </c>
      <c r="J2372" s="1">
        <f>467*5905</f>
        <v>2757635</v>
      </c>
      <c r="K2372" s="1">
        <v>0</v>
      </c>
      <c r="L2372" s="2">
        <v>0</v>
      </c>
      <c r="M2372" s="1">
        <v>0</v>
      </c>
      <c r="N2372" s="1">
        <v>1261</v>
      </c>
      <c r="O2372" s="1">
        <f t="shared" ref="O2372:O2378" si="1346">N2372*4968</f>
        <v>6264648</v>
      </c>
      <c r="P2372" s="1">
        <v>0</v>
      </c>
      <c r="Q2372" s="1">
        <f t="shared" si="1344"/>
        <v>0</v>
      </c>
      <c r="R2372" s="1">
        <v>2850</v>
      </c>
      <c r="S2372" s="1">
        <f t="shared" si="1345"/>
        <v>10690350</v>
      </c>
      <c r="T2372" s="1">
        <v>0</v>
      </c>
      <c r="U2372" s="1">
        <v>50000</v>
      </c>
      <c r="V2372" s="1">
        <v>0</v>
      </c>
      <c r="W2372" s="1">
        <v>50000</v>
      </c>
      <c r="X2372" s="1">
        <v>0</v>
      </c>
      <c r="Y2372" s="1">
        <v>0</v>
      </c>
      <c r="Z2372" s="1">
        <v>0</v>
      </c>
      <c r="AA2372" s="1">
        <v>0</v>
      </c>
      <c r="AB2372" s="1">
        <v>0</v>
      </c>
      <c r="AC2372" s="1">
        <v>0</v>
      </c>
      <c r="AD2372" s="1">
        <v>0</v>
      </c>
    </row>
    <row r="2373" spans="1:30" s="20" customFormat="1" ht="36" customHeight="1" x14ac:dyDescent="0.25">
      <c r="A2373" s="2">
        <f t="shared" si="1322"/>
        <v>2290</v>
      </c>
      <c r="B2373" s="3">
        <f t="shared" si="1341"/>
        <v>2290</v>
      </c>
      <c r="C2373" s="30" t="s">
        <v>1423</v>
      </c>
      <c r="D2373" s="4">
        <f t="shared" si="1342"/>
        <v>38289445</v>
      </c>
      <c r="E2373" s="1">
        <f t="shared" si="1343"/>
        <v>20792295</v>
      </c>
      <c r="F2373" s="1">
        <f>804*5297.4</f>
        <v>4259109.5999999996</v>
      </c>
      <c r="G2373" s="1">
        <f>1693*5297.4</f>
        <v>8968498.1999999993</v>
      </c>
      <c r="H2373" s="1">
        <f>390*5297.4</f>
        <v>2065985.9999999998</v>
      </c>
      <c r="I2373" s="1">
        <f>571*5297.4</f>
        <v>3024815.4</v>
      </c>
      <c r="J2373" s="1">
        <f>467*5297.4</f>
        <v>2473885.7999999998</v>
      </c>
      <c r="K2373" s="1">
        <v>0</v>
      </c>
      <c r="L2373" s="2">
        <v>0</v>
      </c>
      <c r="M2373" s="1">
        <v>0</v>
      </c>
      <c r="N2373" s="1">
        <v>1350</v>
      </c>
      <c r="O2373" s="1">
        <f t="shared" si="1346"/>
        <v>6706800</v>
      </c>
      <c r="P2373" s="1">
        <v>0</v>
      </c>
      <c r="Q2373" s="1">
        <f t="shared" si="1344"/>
        <v>0</v>
      </c>
      <c r="R2373" s="1">
        <v>2850</v>
      </c>
      <c r="S2373" s="1">
        <f t="shared" si="1345"/>
        <v>10690350</v>
      </c>
      <c r="T2373" s="1">
        <v>0</v>
      </c>
      <c r="U2373" s="1">
        <v>50000</v>
      </c>
      <c r="V2373" s="1">
        <v>0</v>
      </c>
      <c r="W2373" s="1">
        <v>50000</v>
      </c>
      <c r="X2373" s="1">
        <v>0</v>
      </c>
      <c r="Y2373" s="1">
        <v>0</v>
      </c>
      <c r="Z2373" s="1">
        <v>0</v>
      </c>
      <c r="AA2373" s="1">
        <v>0</v>
      </c>
      <c r="AB2373" s="1">
        <v>0</v>
      </c>
      <c r="AC2373" s="1">
        <v>0</v>
      </c>
      <c r="AD2373" s="1">
        <v>0</v>
      </c>
    </row>
    <row r="2374" spans="1:30" s="20" customFormat="1" ht="36" customHeight="1" x14ac:dyDescent="0.25">
      <c r="A2374" s="2">
        <f t="shared" si="1322"/>
        <v>2291</v>
      </c>
      <c r="B2374" s="3">
        <f t="shared" si="1295"/>
        <v>2291</v>
      </c>
      <c r="C2374" s="30" t="s">
        <v>1416</v>
      </c>
      <c r="D2374" s="4">
        <f t="shared" si="1342"/>
        <v>52051886.5</v>
      </c>
      <c r="E2374" s="1">
        <f t="shared" si="1331"/>
        <v>30018792.500000004</v>
      </c>
      <c r="F2374" s="1">
        <f>804*7648.1</f>
        <v>6149072.4000000004</v>
      </c>
      <c r="G2374" s="1">
        <f>1693*7648.1</f>
        <v>12948233.300000001</v>
      </c>
      <c r="H2374" s="1">
        <f>390*7648.1</f>
        <v>2982759</v>
      </c>
      <c r="I2374" s="1">
        <f>571*7648.1</f>
        <v>4367065.1000000006</v>
      </c>
      <c r="J2374" s="1">
        <f>467*7648.1</f>
        <v>3571662.7</v>
      </c>
      <c r="K2374" s="1">
        <v>0</v>
      </c>
      <c r="L2374" s="2">
        <v>0</v>
      </c>
      <c r="M2374" s="1">
        <v>0</v>
      </c>
      <c r="N2374" s="1">
        <v>1508</v>
      </c>
      <c r="O2374" s="1">
        <f t="shared" si="1346"/>
        <v>7491744</v>
      </c>
      <c r="P2374" s="1">
        <v>0</v>
      </c>
      <c r="Q2374" s="1">
        <f t="shared" si="1324"/>
        <v>0</v>
      </c>
      <c r="R2374" s="1">
        <v>3850</v>
      </c>
      <c r="S2374" s="1">
        <f t="shared" si="1325"/>
        <v>14441350</v>
      </c>
      <c r="T2374" s="1">
        <v>0</v>
      </c>
      <c r="U2374" s="1">
        <v>50000</v>
      </c>
      <c r="V2374" s="1">
        <v>0</v>
      </c>
      <c r="W2374" s="1">
        <v>50000</v>
      </c>
      <c r="X2374" s="1">
        <v>0</v>
      </c>
      <c r="Y2374" s="1">
        <v>0</v>
      </c>
      <c r="Z2374" s="1">
        <v>0</v>
      </c>
      <c r="AA2374" s="1">
        <v>0</v>
      </c>
      <c r="AB2374" s="1">
        <v>0</v>
      </c>
      <c r="AC2374" s="1">
        <v>0</v>
      </c>
      <c r="AD2374" s="1">
        <v>0</v>
      </c>
    </row>
    <row r="2375" spans="1:30" s="20" customFormat="1" ht="36" customHeight="1" x14ac:dyDescent="0.25">
      <c r="A2375" s="2">
        <f t="shared" si="1322"/>
        <v>2292</v>
      </c>
      <c r="B2375" s="3">
        <f t="shared" si="1295"/>
        <v>2292</v>
      </c>
      <c r="C2375" s="19" t="s">
        <v>1417</v>
      </c>
      <c r="D2375" s="4">
        <f t="shared" si="1342"/>
        <v>38772878</v>
      </c>
      <c r="E2375" s="1">
        <f t="shared" si="1331"/>
        <v>23174769.999999996</v>
      </c>
      <c r="F2375" s="1">
        <f>804*5904.4</f>
        <v>4747137.5999999996</v>
      </c>
      <c r="G2375" s="1">
        <f>1693*5904.4</f>
        <v>9996149.1999999993</v>
      </c>
      <c r="H2375" s="1">
        <f>390*5904.4</f>
        <v>2302716</v>
      </c>
      <c r="I2375" s="1">
        <f>571*5904.4</f>
        <v>3371412.4</v>
      </c>
      <c r="J2375" s="1">
        <f>467*5904.4</f>
        <v>2757354.8</v>
      </c>
      <c r="K2375" s="1">
        <v>0</v>
      </c>
      <c r="L2375" s="2">
        <v>0</v>
      </c>
      <c r="M2375" s="1">
        <v>0</v>
      </c>
      <c r="N2375" s="1">
        <v>1081</v>
      </c>
      <c r="O2375" s="1">
        <f t="shared" si="1346"/>
        <v>5370408</v>
      </c>
      <c r="P2375" s="1">
        <v>0</v>
      </c>
      <c r="Q2375" s="1">
        <f t="shared" si="1324"/>
        <v>0</v>
      </c>
      <c r="R2375" s="1">
        <v>2700</v>
      </c>
      <c r="S2375" s="1">
        <f t="shared" si="1325"/>
        <v>10127700</v>
      </c>
      <c r="T2375" s="1">
        <v>0</v>
      </c>
      <c r="U2375" s="1">
        <v>50000</v>
      </c>
      <c r="V2375" s="1">
        <v>0</v>
      </c>
      <c r="W2375" s="1">
        <v>50000</v>
      </c>
      <c r="X2375" s="1">
        <v>0</v>
      </c>
      <c r="Y2375" s="1">
        <v>0</v>
      </c>
      <c r="Z2375" s="1">
        <v>0</v>
      </c>
      <c r="AA2375" s="1">
        <v>0</v>
      </c>
      <c r="AB2375" s="1">
        <v>0</v>
      </c>
      <c r="AC2375" s="1">
        <v>0</v>
      </c>
      <c r="AD2375" s="1">
        <v>0</v>
      </c>
    </row>
    <row r="2376" spans="1:30" s="20" customFormat="1" ht="36" customHeight="1" x14ac:dyDescent="0.25">
      <c r="A2376" s="2">
        <f t="shared" si="1322"/>
        <v>2293</v>
      </c>
      <c r="B2376" s="3">
        <f t="shared" si="1295"/>
        <v>2293</v>
      </c>
      <c r="C2376" s="19" t="s">
        <v>1418</v>
      </c>
      <c r="D2376" s="4">
        <f t="shared" si="1342"/>
        <v>36751890.5</v>
      </c>
      <c r="E2376" s="1">
        <f t="shared" si="1331"/>
        <v>23404382.499999996</v>
      </c>
      <c r="F2376" s="1">
        <f>804*5962.9</f>
        <v>4794171.5999999996</v>
      </c>
      <c r="G2376" s="1">
        <f>1693*5962.9</f>
        <v>10095189.699999999</v>
      </c>
      <c r="H2376" s="1">
        <f>390*5962.9</f>
        <v>2325531</v>
      </c>
      <c r="I2376" s="1">
        <f>571*5962.9</f>
        <v>3404815.9</v>
      </c>
      <c r="J2376" s="1">
        <f>467*5962.9</f>
        <v>2784674.3</v>
      </c>
      <c r="K2376" s="1">
        <v>0</v>
      </c>
      <c r="L2376" s="2">
        <v>0</v>
      </c>
      <c r="M2376" s="1">
        <v>0</v>
      </c>
      <c r="N2376" s="1">
        <v>1081</v>
      </c>
      <c r="O2376" s="1">
        <f t="shared" si="1346"/>
        <v>5370408</v>
      </c>
      <c r="P2376" s="1">
        <v>0</v>
      </c>
      <c r="Q2376" s="1">
        <f t="shared" si="1324"/>
        <v>0</v>
      </c>
      <c r="R2376" s="1">
        <v>2100</v>
      </c>
      <c r="S2376" s="1">
        <f t="shared" si="1325"/>
        <v>7877100</v>
      </c>
      <c r="T2376" s="1">
        <v>0</v>
      </c>
      <c r="U2376" s="1">
        <v>50000</v>
      </c>
      <c r="V2376" s="1">
        <v>0</v>
      </c>
      <c r="W2376" s="1">
        <v>50000</v>
      </c>
      <c r="X2376" s="1">
        <v>0</v>
      </c>
      <c r="Y2376" s="1">
        <v>0</v>
      </c>
      <c r="Z2376" s="1">
        <v>0</v>
      </c>
      <c r="AA2376" s="1">
        <v>0</v>
      </c>
      <c r="AB2376" s="1">
        <v>0</v>
      </c>
      <c r="AC2376" s="1">
        <v>0</v>
      </c>
      <c r="AD2376" s="1">
        <v>0</v>
      </c>
    </row>
    <row r="2377" spans="1:30" s="20" customFormat="1" ht="36" customHeight="1" x14ac:dyDescent="0.25">
      <c r="A2377" s="2">
        <f t="shared" si="1322"/>
        <v>2294</v>
      </c>
      <c r="B2377" s="3">
        <f t="shared" si="1295"/>
        <v>2294</v>
      </c>
      <c r="C2377" s="19" t="s">
        <v>1419</v>
      </c>
      <c r="D2377" s="4">
        <f t="shared" si="1342"/>
        <v>38748673</v>
      </c>
      <c r="E2377" s="1">
        <f t="shared" si="1331"/>
        <v>23525665.000000004</v>
      </c>
      <c r="F2377" s="1">
        <f>804*5993.8</f>
        <v>4819015.2</v>
      </c>
      <c r="G2377" s="1">
        <f>1693*5993.8</f>
        <v>10147503.4</v>
      </c>
      <c r="H2377" s="1">
        <f>390*5993.8</f>
        <v>2337582</v>
      </c>
      <c r="I2377" s="1">
        <f>571*5993.8</f>
        <v>3422459.8000000003</v>
      </c>
      <c r="J2377" s="1">
        <f>467*5993.8</f>
        <v>2799104.6</v>
      </c>
      <c r="K2377" s="1">
        <v>0</v>
      </c>
      <c r="L2377" s="2">
        <v>0</v>
      </c>
      <c r="M2377" s="1">
        <v>0</v>
      </c>
      <c r="N2377" s="1">
        <v>1081</v>
      </c>
      <c r="O2377" s="1">
        <f t="shared" si="1346"/>
        <v>5370408</v>
      </c>
      <c r="P2377" s="1">
        <v>0</v>
      </c>
      <c r="Q2377" s="1">
        <f t="shared" si="1324"/>
        <v>0</v>
      </c>
      <c r="R2377" s="1">
        <v>2600</v>
      </c>
      <c r="S2377" s="1">
        <f t="shared" si="1325"/>
        <v>9752600</v>
      </c>
      <c r="T2377" s="1">
        <v>0</v>
      </c>
      <c r="U2377" s="1">
        <v>50000</v>
      </c>
      <c r="V2377" s="1">
        <v>0</v>
      </c>
      <c r="W2377" s="1">
        <v>50000</v>
      </c>
      <c r="X2377" s="1">
        <v>0</v>
      </c>
      <c r="Y2377" s="1">
        <v>0</v>
      </c>
      <c r="Z2377" s="1">
        <v>0</v>
      </c>
      <c r="AA2377" s="1">
        <v>0</v>
      </c>
      <c r="AB2377" s="1">
        <v>0</v>
      </c>
      <c r="AC2377" s="1">
        <v>0</v>
      </c>
      <c r="AD2377" s="1">
        <v>0</v>
      </c>
    </row>
    <row r="2378" spans="1:30" s="20" customFormat="1" ht="36" customHeight="1" x14ac:dyDescent="0.25">
      <c r="A2378" s="2">
        <f t="shared" si="1322"/>
        <v>2295</v>
      </c>
      <c r="B2378" s="3">
        <f t="shared" si="1295"/>
        <v>2295</v>
      </c>
      <c r="C2378" s="30" t="s">
        <v>1420</v>
      </c>
      <c r="D2378" s="4">
        <f t="shared" si="1342"/>
        <v>22655871</v>
      </c>
      <c r="E2378" s="1">
        <f t="shared" si="1331"/>
        <v>0</v>
      </c>
      <c r="F2378" s="1">
        <v>0</v>
      </c>
      <c r="G2378" s="1">
        <v>0</v>
      </c>
      <c r="H2378" s="1">
        <v>0</v>
      </c>
      <c r="I2378" s="1">
        <v>0</v>
      </c>
      <c r="J2378" s="1">
        <v>0</v>
      </c>
      <c r="K2378" s="1">
        <v>0</v>
      </c>
      <c r="L2378" s="2">
        <v>0</v>
      </c>
      <c r="M2378" s="1">
        <v>0</v>
      </c>
      <c r="N2378" s="1">
        <v>1618</v>
      </c>
      <c r="O2378" s="1">
        <f t="shared" si="1346"/>
        <v>8038224</v>
      </c>
      <c r="P2378" s="1">
        <v>0</v>
      </c>
      <c r="Q2378" s="1">
        <f t="shared" ref="Q2378:Q2480" si="1347">P2378*1400</f>
        <v>0</v>
      </c>
      <c r="R2378" s="1">
        <v>3897</v>
      </c>
      <c r="S2378" s="1">
        <f t="shared" si="1325"/>
        <v>14617647</v>
      </c>
      <c r="T2378" s="1">
        <v>0</v>
      </c>
      <c r="U2378" s="1">
        <v>0</v>
      </c>
      <c r="V2378" s="1">
        <v>0</v>
      </c>
      <c r="W2378" s="1">
        <v>0</v>
      </c>
      <c r="X2378" s="1">
        <v>0</v>
      </c>
      <c r="Y2378" s="1">
        <v>0</v>
      </c>
      <c r="Z2378" s="1">
        <v>0</v>
      </c>
      <c r="AA2378" s="1">
        <v>0</v>
      </c>
      <c r="AB2378" s="1">
        <v>0</v>
      </c>
      <c r="AC2378" s="1">
        <v>0</v>
      </c>
      <c r="AD2378" s="1">
        <v>0</v>
      </c>
    </row>
    <row r="2379" spans="1:30" s="20" customFormat="1" ht="36" customHeight="1" x14ac:dyDescent="0.25">
      <c r="A2379" s="2">
        <f t="shared" si="1322"/>
        <v>2296</v>
      </c>
      <c r="B2379" s="6">
        <f t="shared" ref="B2379" si="1348">A2379</f>
        <v>2296</v>
      </c>
      <c r="C2379" s="19" t="s">
        <v>1930</v>
      </c>
      <c r="D2379" s="4">
        <f t="shared" si="1342"/>
        <v>21200000</v>
      </c>
      <c r="E2379" s="1">
        <f t="shared" ref="E2379" si="1349">SUM(F2379:K2379)</f>
        <v>0</v>
      </c>
      <c r="F2379" s="1">
        <v>0</v>
      </c>
      <c r="G2379" s="1">
        <v>0</v>
      </c>
      <c r="H2379" s="1">
        <v>0</v>
      </c>
      <c r="I2379" s="1">
        <v>0</v>
      </c>
      <c r="J2379" s="1">
        <v>0</v>
      </c>
      <c r="K2379" s="1">
        <v>0</v>
      </c>
      <c r="L2379" s="2">
        <v>6</v>
      </c>
      <c r="M2379" s="1">
        <f>L2379*3500000</f>
        <v>21000000</v>
      </c>
      <c r="N2379" s="1">
        <v>0</v>
      </c>
      <c r="O2379" s="1">
        <v>0</v>
      </c>
      <c r="P2379" s="1">
        <v>0</v>
      </c>
      <c r="Q2379" s="1">
        <f t="shared" ref="Q2379" si="1350">P2379*1400</f>
        <v>0</v>
      </c>
      <c r="R2379" s="1">
        <v>0</v>
      </c>
      <c r="S2379" s="1">
        <f t="shared" ref="S2379" si="1351">R2379*3751</f>
        <v>0</v>
      </c>
      <c r="T2379" s="1">
        <v>0</v>
      </c>
      <c r="U2379" s="1">
        <v>200000</v>
      </c>
      <c r="V2379" s="1">
        <v>0</v>
      </c>
      <c r="W2379" s="1">
        <v>0</v>
      </c>
      <c r="X2379" s="1">
        <v>0</v>
      </c>
      <c r="Y2379" s="1">
        <v>0</v>
      </c>
      <c r="Z2379" s="1">
        <v>0</v>
      </c>
      <c r="AA2379" s="1">
        <v>0</v>
      </c>
      <c r="AB2379" s="1">
        <v>0</v>
      </c>
      <c r="AC2379" s="1">
        <v>0</v>
      </c>
      <c r="AD2379" s="1">
        <v>0</v>
      </c>
    </row>
    <row r="2380" spans="1:30" s="20" customFormat="1" ht="36" customHeight="1" x14ac:dyDescent="0.25">
      <c r="A2380" s="2">
        <f t="shared" si="1322"/>
        <v>2297</v>
      </c>
      <c r="B2380" s="3">
        <f t="shared" si="1295"/>
        <v>2297</v>
      </c>
      <c r="C2380" s="19" t="s">
        <v>1424</v>
      </c>
      <c r="D2380" s="4">
        <f t="shared" si="1342"/>
        <v>30822040.5</v>
      </c>
      <c r="E2380" s="1">
        <f t="shared" si="1331"/>
        <v>16975232.5</v>
      </c>
      <c r="F2380" s="1">
        <f>804*4324.9</f>
        <v>3477219.5999999996</v>
      </c>
      <c r="G2380" s="1">
        <f>1693*4324.9</f>
        <v>7322055.6999999993</v>
      </c>
      <c r="H2380" s="1">
        <f>390*4324.9</f>
        <v>1686710.9999999998</v>
      </c>
      <c r="I2380" s="1">
        <f>571*4324.9</f>
        <v>2469517.9</v>
      </c>
      <c r="J2380" s="1">
        <f>467*4324.9</f>
        <v>2019728.2999999998</v>
      </c>
      <c r="K2380" s="1">
        <v>0</v>
      </c>
      <c r="L2380" s="2">
        <v>0</v>
      </c>
      <c r="M2380" s="1">
        <v>0</v>
      </c>
      <c r="N2380" s="1">
        <v>1106</v>
      </c>
      <c r="O2380" s="1">
        <f>N2380*4968</f>
        <v>5494608</v>
      </c>
      <c r="P2380" s="1">
        <v>0</v>
      </c>
      <c r="Q2380" s="1">
        <f t="shared" si="1324"/>
        <v>0</v>
      </c>
      <c r="R2380" s="1">
        <v>2200</v>
      </c>
      <c r="S2380" s="1">
        <f t="shared" si="1325"/>
        <v>8252200</v>
      </c>
      <c r="T2380" s="1">
        <v>0</v>
      </c>
      <c r="U2380" s="1">
        <v>50000</v>
      </c>
      <c r="V2380" s="1">
        <v>0</v>
      </c>
      <c r="W2380" s="1">
        <v>50000</v>
      </c>
      <c r="X2380" s="1">
        <v>0</v>
      </c>
      <c r="Y2380" s="1">
        <v>0</v>
      </c>
      <c r="Z2380" s="1">
        <v>0</v>
      </c>
      <c r="AA2380" s="1">
        <v>0</v>
      </c>
      <c r="AB2380" s="1">
        <v>0</v>
      </c>
      <c r="AC2380" s="1">
        <v>0</v>
      </c>
      <c r="AD2380" s="1">
        <v>0</v>
      </c>
    </row>
    <row r="2381" spans="1:30" s="20" customFormat="1" ht="36" customHeight="1" x14ac:dyDescent="0.25">
      <c r="A2381" s="2">
        <f t="shared" si="1322"/>
        <v>2298</v>
      </c>
      <c r="B2381" s="3">
        <f t="shared" si="1295"/>
        <v>2298</v>
      </c>
      <c r="C2381" s="19" t="s">
        <v>1425</v>
      </c>
      <c r="D2381" s="4">
        <f t="shared" si="1342"/>
        <v>34728985.5</v>
      </c>
      <c r="E2381" s="1">
        <f t="shared" si="1331"/>
        <v>20882177.500000004</v>
      </c>
      <c r="F2381" s="1">
        <f>804*5320.3</f>
        <v>4277521.2</v>
      </c>
      <c r="G2381" s="1">
        <f>1693*5320.3</f>
        <v>9007267.9000000004</v>
      </c>
      <c r="H2381" s="1">
        <f>390*5320.3</f>
        <v>2074917</v>
      </c>
      <c r="I2381" s="1">
        <f>571*5320.3</f>
        <v>3037891.3000000003</v>
      </c>
      <c r="J2381" s="1">
        <f>467*5320.3</f>
        <v>2484580.1</v>
      </c>
      <c r="K2381" s="1">
        <v>0</v>
      </c>
      <c r="L2381" s="2">
        <v>0</v>
      </c>
      <c r="M2381" s="1">
        <v>0</v>
      </c>
      <c r="N2381" s="1">
        <v>1106</v>
      </c>
      <c r="O2381" s="1">
        <f>N2381*4968</f>
        <v>5494608</v>
      </c>
      <c r="P2381" s="1">
        <v>0</v>
      </c>
      <c r="Q2381" s="1">
        <f t="shared" si="1347"/>
        <v>0</v>
      </c>
      <c r="R2381" s="1">
        <v>2200</v>
      </c>
      <c r="S2381" s="1">
        <f>R2381*3751</f>
        <v>8252200</v>
      </c>
      <c r="T2381" s="1">
        <v>0</v>
      </c>
      <c r="U2381" s="1">
        <v>50000</v>
      </c>
      <c r="V2381" s="1">
        <v>0</v>
      </c>
      <c r="W2381" s="1">
        <v>50000</v>
      </c>
      <c r="X2381" s="1">
        <v>0</v>
      </c>
      <c r="Y2381" s="1">
        <v>0</v>
      </c>
      <c r="Z2381" s="1">
        <v>0</v>
      </c>
      <c r="AA2381" s="1">
        <v>0</v>
      </c>
      <c r="AB2381" s="1">
        <v>0</v>
      </c>
      <c r="AC2381" s="1">
        <v>0</v>
      </c>
      <c r="AD2381" s="1">
        <v>0</v>
      </c>
    </row>
    <row r="2382" spans="1:30" s="20" customFormat="1" ht="36" customHeight="1" x14ac:dyDescent="0.25">
      <c r="A2382" s="2">
        <f t="shared" si="1322"/>
        <v>2299</v>
      </c>
      <c r="B2382" s="6">
        <f t="shared" si="1295"/>
        <v>2299</v>
      </c>
      <c r="C2382" s="19" t="s">
        <v>1933</v>
      </c>
      <c r="D2382" s="4">
        <f t="shared" si="1342"/>
        <v>3700000</v>
      </c>
      <c r="E2382" s="1">
        <f t="shared" si="1331"/>
        <v>0</v>
      </c>
      <c r="F2382" s="1">
        <v>0</v>
      </c>
      <c r="G2382" s="1">
        <v>0</v>
      </c>
      <c r="H2382" s="1">
        <v>0</v>
      </c>
      <c r="I2382" s="1">
        <v>0</v>
      </c>
      <c r="J2382" s="1">
        <v>0</v>
      </c>
      <c r="K2382" s="1">
        <v>0</v>
      </c>
      <c r="L2382" s="2">
        <v>1</v>
      </c>
      <c r="M2382" s="1">
        <f>L2382*3500000</f>
        <v>3500000</v>
      </c>
      <c r="N2382" s="1">
        <v>0</v>
      </c>
      <c r="O2382" s="1">
        <v>0</v>
      </c>
      <c r="P2382" s="1">
        <v>0</v>
      </c>
      <c r="Q2382" s="1">
        <f t="shared" si="1347"/>
        <v>0</v>
      </c>
      <c r="R2382" s="1">
        <v>0</v>
      </c>
      <c r="S2382" s="1">
        <f t="shared" ref="S2382:S2386" si="1352">R2382*3751</f>
        <v>0</v>
      </c>
      <c r="T2382" s="1">
        <v>0</v>
      </c>
      <c r="U2382" s="1">
        <v>200000</v>
      </c>
      <c r="V2382" s="1">
        <v>0</v>
      </c>
      <c r="W2382" s="1">
        <v>0</v>
      </c>
      <c r="X2382" s="1">
        <v>0</v>
      </c>
      <c r="Y2382" s="1">
        <v>0</v>
      </c>
      <c r="Z2382" s="1">
        <v>0</v>
      </c>
      <c r="AA2382" s="1">
        <v>0</v>
      </c>
      <c r="AB2382" s="1">
        <v>0</v>
      </c>
      <c r="AC2382" s="1">
        <v>0</v>
      </c>
      <c r="AD2382" s="1">
        <v>0</v>
      </c>
    </row>
    <row r="2383" spans="1:30" s="20" customFormat="1" ht="36" customHeight="1" x14ac:dyDescent="0.25">
      <c r="A2383" s="2">
        <f t="shared" si="1322"/>
        <v>2300</v>
      </c>
      <c r="B2383" s="6">
        <f t="shared" si="1295"/>
        <v>2300</v>
      </c>
      <c r="C2383" s="19" t="s">
        <v>841</v>
      </c>
      <c r="D2383" s="4">
        <f>E2383+M2383+O2383+Q2383+S2383+T2383+U2383+V2383+X2383+W2383+Z2383+AA2383+AB2383+AC2383+AD2383</f>
        <v>5363930</v>
      </c>
      <c r="E2383" s="1">
        <f t="shared" si="1331"/>
        <v>0</v>
      </c>
      <c r="F2383" s="1">
        <v>0</v>
      </c>
      <c r="G2383" s="1">
        <v>0</v>
      </c>
      <c r="H2383" s="1">
        <v>0</v>
      </c>
      <c r="I2383" s="1">
        <v>0</v>
      </c>
      <c r="J2383" s="1">
        <v>0</v>
      </c>
      <c r="K2383" s="1">
        <v>0</v>
      </c>
      <c r="L2383" s="2">
        <v>0</v>
      </c>
      <c r="M2383" s="1">
        <v>0</v>
      </c>
      <c r="N2383" s="1">
        <v>0</v>
      </c>
      <c r="O2383" s="1">
        <v>0</v>
      </c>
      <c r="P2383" s="1">
        <v>0</v>
      </c>
      <c r="Q2383" s="1">
        <f t="shared" si="1347"/>
        <v>0</v>
      </c>
      <c r="R2383" s="1">
        <v>1430</v>
      </c>
      <c r="S2383" s="1">
        <f t="shared" si="1352"/>
        <v>5363930</v>
      </c>
      <c r="T2383" s="1">
        <v>0</v>
      </c>
      <c r="U2383" s="1">
        <v>0</v>
      </c>
      <c r="V2383" s="1">
        <v>0</v>
      </c>
      <c r="W2383" s="1">
        <v>0</v>
      </c>
      <c r="X2383" s="1">
        <v>0</v>
      </c>
      <c r="Y2383" s="1">
        <v>0</v>
      </c>
      <c r="Z2383" s="1">
        <v>0</v>
      </c>
      <c r="AA2383" s="1">
        <v>0</v>
      </c>
      <c r="AB2383" s="1">
        <v>0</v>
      </c>
      <c r="AC2383" s="1">
        <v>0</v>
      </c>
      <c r="AD2383" s="1">
        <v>0</v>
      </c>
    </row>
    <row r="2384" spans="1:30" s="20" customFormat="1" ht="36" customHeight="1" x14ac:dyDescent="0.25">
      <c r="A2384" s="2">
        <f t="shared" si="1322"/>
        <v>2301</v>
      </c>
      <c r="B2384" s="6">
        <f t="shared" ref="B2384" si="1353">A2384</f>
        <v>2301</v>
      </c>
      <c r="C2384" s="19" t="s">
        <v>842</v>
      </c>
      <c r="D2384" s="4">
        <f>E2384+M2384+O2384+Q2384+S2384+T2384+U2384+V2384+X2384+W2384+Z2384+AA2384+AB2384+AC2384+AD2384</f>
        <v>5401440</v>
      </c>
      <c r="E2384" s="1">
        <f t="shared" ref="E2384" si="1354">SUM(F2384:K2384)</f>
        <v>0</v>
      </c>
      <c r="F2384" s="1">
        <v>0</v>
      </c>
      <c r="G2384" s="1">
        <v>0</v>
      </c>
      <c r="H2384" s="1">
        <v>0</v>
      </c>
      <c r="I2384" s="1">
        <v>0</v>
      </c>
      <c r="J2384" s="1">
        <v>0</v>
      </c>
      <c r="K2384" s="1">
        <v>0</v>
      </c>
      <c r="L2384" s="2">
        <v>0</v>
      </c>
      <c r="M2384" s="1">
        <v>0</v>
      </c>
      <c r="N2384" s="1">
        <v>0</v>
      </c>
      <c r="O2384" s="1">
        <v>0</v>
      </c>
      <c r="P2384" s="1">
        <v>0</v>
      </c>
      <c r="Q2384" s="1">
        <f t="shared" ref="Q2384" si="1355">P2384*1400</f>
        <v>0</v>
      </c>
      <c r="R2384" s="1">
        <v>1440</v>
      </c>
      <c r="S2384" s="1">
        <f>R2384*3751</f>
        <v>5401440</v>
      </c>
      <c r="T2384" s="1">
        <v>0</v>
      </c>
      <c r="U2384" s="1">
        <v>0</v>
      </c>
      <c r="V2384" s="1">
        <v>0</v>
      </c>
      <c r="W2384" s="1">
        <v>0</v>
      </c>
      <c r="X2384" s="1">
        <v>0</v>
      </c>
      <c r="Y2384" s="1">
        <v>0</v>
      </c>
      <c r="Z2384" s="1">
        <v>0</v>
      </c>
      <c r="AA2384" s="1">
        <v>0</v>
      </c>
      <c r="AB2384" s="1">
        <v>0</v>
      </c>
      <c r="AC2384" s="1">
        <v>0</v>
      </c>
      <c r="AD2384" s="1">
        <v>0</v>
      </c>
    </row>
    <row r="2385" spans="1:30" s="20" customFormat="1" ht="36" customHeight="1" x14ac:dyDescent="0.25">
      <c r="A2385" s="2">
        <f t="shared" si="1322"/>
        <v>2302</v>
      </c>
      <c r="B2385" s="3">
        <f>A2385</f>
        <v>2302</v>
      </c>
      <c r="C2385" s="19" t="s">
        <v>1428</v>
      </c>
      <c r="D2385" s="4">
        <f t="shared" ref="D2385:D2390" si="1356">E2385+M2385+O2385+Q2385+S2385+T2385+U2385+V2385+W2385+X2385+Z2385+AA2385+AB2385+AC2385+AD2385</f>
        <v>19922646.75</v>
      </c>
      <c r="E2385" s="1">
        <f>SUM(F2385:K2385)</f>
        <v>11562696.75</v>
      </c>
      <c r="F2385" s="1">
        <f>804*2945.91</f>
        <v>2368511.6399999997</v>
      </c>
      <c r="G2385" s="1">
        <f>1693*2945.91</f>
        <v>4987425.63</v>
      </c>
      <c r="H2385" s="1">
        <f>390*2945.91</f>
        <v>1148904.8999999999</v>
      </c>
      <c r="I2385" s="1">
        <f>571*2945.91</f>
        <v>1682114.6099999999</v>
      </c>
      <c r="J2385" s="1">
        <f>467*2945.91</f>
        <v>1375739.97</v>
      </c>
      <c r="K2385" s="1">
        <v>0</v>
      </c>
      <c r="L2385" s="2">
        <v>0</v>
      </c>
      <c r="M2385" s="1">
        <v>0</v>
      </c>
      <c r="N2385" s="1">
        <v>606</v>
      </c>
      <c r="O2385" s="1">
        <f>N2385*7750</f>
        <v>4696500</v>
      </c>
      <c r="P2385" s="1">
        <v>0</v>
      </c>
      <c r="Q2385" s="1">
        <f>P2385*1400</f>
        <v>0</v>
      </c>
      <c r="R2385" s="1">
        <v>950</v>
      </c>
      <c r="S2385" s="1">
        <f>R2385*3751</f>
        <v>3563450</v>
      </c>
      <c r="T2385" s="1">
        <v>0</v>
      </c>
      <c r="U2385" s="1">
        <v>50000</v>
      </c>
      <c r="V2385" s="1">
        <v>0</v>
      </c>
      <c r="W2385" s="1">
        <v>50000</v>
      </c>
      <c r="X2385" s="1">
        <v>0</v>
      </c>
      <c r="Y2385" s="1">
        <v>0</v>
      </c>
      <c r="Z2385" s="1">
        <v>0</v>
      </c>
      <c r="AA2385" s="1">
        <v>0</v>
      </c>
      <c r="AB2385" s="1">
        <v>0</v>
      </c>
      <c r="AC2385" s="1">
        <v>0</v>
      </c>
      <c r="AD2385" s="1">
        <v>0</v>
      </c>
    </row>
    <row r="2386" spans="1:30" s="20" customFormat="1" ht="36" customHeight="1" x14ac:dyDescent="0.25">
      <c r="A2386" s="2">
        <f t="shared" si="1322"/>
        <v>2303</v>
      </c>
      <c r="B2386" s="6">
        <f t="shared" ref="B2386" si="1357">A2386</f>
        <v>2303</v>
      </c>
      <c r="C2386" s="19" t="s">
        <v>2232</v>
      </c>
      <c r="D2386" s="4">
        <f t="shared" si="1356"/>
        <v>7200000</v>
      </c>
      <c r="E2386" s="1">
        <f t="shared" ref="E2386" si="1358">SUM(F2386:K2386)</f>
        <v>0</v>
      </c>
      <c r="F2386" s="1">
        <v>0</v>
      </c>
      <c r="G2386" s="1">
        <v>0</v>
      </c>
      <c r="H2386" s="1">
        <v>0</v>
      </c>
      <c r="I2386" s="1">
        <v>0</v>
      </c>
      <c r="J2386" s="1">
        <v>0</v>
      </c>
      <c r="K2386" s="1">
        <v>0</v>
      </c>
      <c r="L2386" s="2">
        <v>2</v>
      </c>
      <c r="M2386" s="1">
        <f>L2386*3500000</f>
        <v>7000000</v>
      </c>
      <c r="N2386" s="1">
        <v>0</v>
      </c>
      <c r="O2386" s="1">
        <v>0</v>
      </c>
      <c r="P2386" s="1">
        <v>0</v>
      </c>
      <c r="Q2386" s="1">
        <f t="shared" ref="Q2386" si="1359">P2386*1400</f>
        <v>0</v>
      </c>
      <c r="R2386" s="1">
        <v>0</v>
      </c>
      <c r="S2386" s="1">
        <f t="shared" si="1352"/>
        <v>0</v>
      </c>
      <c r="T2386" s="1">
        <v>0</v>
      </c>
      <c r="U2386" s="1">
        <v>200000</v>
      </c>
      <c r="V2386" s="1">
        <v>0</v>
      </c>
      <c r="W2386" s="1">
        <v>0</v>
      </c>
      <c r="X2386" s="1">
        <v>0</v>
      </c>
      <c r="Y2386" s="1">
        <v>0</v>
      </c>
      <c r="Z2386" s="1">
        <v>0</v>
      </c>
      <c r="AA2386" s="1">
        <v>0</v>
      </c>
      <c r="AB2386" s="1">
        <v>0</v>
      </c>
      <c r="AC2386" s="1">
        <v>0</v>
      </c>
      <c r="AD2386" s="1">
        <v>0</v>
      </c>
    </row>
    <row r="2387" spans="1:30" s="20" customFormat="1" ht="36" customHeight="1" x14ac:dyDescent="0.25">
      <c r="A2387" s="2">
        <f t="shared" si="1322"/>
        <v>2304</v>
      </c>
      <c r="B2387" s="3">
        <f t="shared" si="1295"/>
        <v>2304</v>
      </c>
      <c r="C2387" s="19" t="s">
        <v>1426</v>
      </c>
      <c r="D2387" s="4">
        <f t="shared" si="1356"/>
        <v>13898867.499999998</v>
      </c>
      <c r="E2387" s="1">
        <f t="shared" si="1331"/>
        <v>10798067.499999998</v>
      </c>
      <c r="F2387" s="1">
        <f>804*2751.1</f>
        <v>2211884.4</v>
      </c>
      <c r="G2387" s="1">
        <f>1693*2751.1</f>
        <v>4657612.3</v>
      </c>
      <c r="H2387" s="1">
        <f>390*2751.1</f>
        <v>1072929</v>
      </c>
      <c r="I2387" s="1">
        <f>571*2751.1</f>
        <v>1570878.0999999999</v>
      </c>
      <c r="J2387" s="1">
        <f>467*2751.1</f>
        <v>1284763.7</v>
      </c>
      <c r="K2387" s="1">
        <v>0</v>
      </c>
      <c r="L2387" s="2">
        <v>0</v>
      </c>
      <c r="M2387" s="1">
        <v>0</v>
      </c>
      <c r="N2387" s="1">
        <v>0</v>
      </c>
      <c r="O2387" s="1">
        <v>0</v>
      </c>
      <c r="P2387" s="1">
        <v>0</v>
      </c>
      <c r="Q2387" s="1">
        <f t="shared" si="1347"/>
        <v>0</v>
      </c>
      <c r="R2387" s="1">
        <v>800</v>
      </c>
      <c r="S2387" s="1">
        <f t="shared" si="1325"/>
        <v>3000800</v>
      </c>
      <c r="T2387" s="1">
        <v>0</v>
      </c>
      <c r="U2387" s="1">
        <v>50000</v>
      </c>
      <c r="V2387" s="1">
        <v>0</v>
      </c>
      <c r="W2387" s="1">
        <v>50000</v>
      </c>
      <c r="X2387" s="1">
        <v>0</v>
      </c>
      <c r="Y2387" s="1">
        <v>0</v>
      </c>
      <c r="Z2387" s="1">
        <v>0</v>
      </c>
      <c r="AA2387" s="1">
        <v>0</v>
      </c>
      <c r="AB2387" s="1">
        <v>0</v>
      </c>
      <c r="AC2387" s="1">
        <v>0</v>
      </c>
      <c r="AD2387" s="1">
        <v>0</v>
      </c>
    </row>
    <row r="2388" spans="1:30" s="20" customFormat="1" ht="36" customHeight="1" x14ac:dyDescent="0.25">
      <c r="A2388" s="2">
        <f t="shared" si="1322"/>
        <v>2305</v>
      </c>
      <c r="B2388" s="3">
        <f t="shared" si="1295"/>
        <v>2305</v>
      </c>
      <c r="C2388" s="19" t="s">
        <v>1427</v>
      </c>
      <c r="D2388" s="4">
        <f t="shared" si="1356"/>
        <v>26368295.5</v>
      </c>
      <c r="E2388" s="1">
        <f t="shared" si="1331"/>
        <v>17119515.5</v>
      </c>
      <c r="F2388" s="1">
        <f>804*4361.66</f>
        <v>3506774.6399999997</v>
      </c>
      <c r="G2388" s="1">
        <f>1693*4361.66</f>
        <v>7384290.3799999999</v>
      </c>
      <c r="H2388" s="1">
        <f>390*4361.66</f>
        <v>1701047.4</v>
      </c>
      <c r="I2388" s="1">
        <f>571*4361.66</f>
        <v>2490507.86</v>
      </c>
      <c r="J2388" s="1">
        <f>467*4361.66</f>
        <v>2036895.22</v>
      </c>
      <c r="K2388" s="1">
        <v>0</v>
      </c>
      <c r="L2388" s="2">
        <v>0</v>
      </c>
      <c r="M2388" s="1">
        <v>0</v>
      </c>
      <c r="N2388" s="1">
        <v>860</v>
      </c>
      <c r="O2388" s="1">
        <f>N2388*4968</f>
        <v>4272480</v>
      </c>
      <c r="P2388" s="1">
        <v>0</v>
      </c>
      <c r="Q2388" s="1">
        <f t="shared" si="1347"/>
        <v>0</v>
      </c>
      <c r="R2388" s="1">
        <v>1300</v>
      </c>
      <c r="S2388" s="1">
        <f t="shared" si="1325"/>
        <v>4876300</v>
      </c>
      <c r="T2388" s="1">
        <v>0</v>
      </c>
      <c r="U2388" s="1">
        <v>50000</v>
      </c>
      <c r="V2388" s="1">
        <v>0</v>
      </c>
      <c r="W2388" s="1">
        <v>50000</v>
      </c>
      <c r="X2388" s="1">
        <v>0</v>
      </c>
      <c r="Y2388" s="1">
        <v>0</v>
      </c>
      <c r="Z2388" s="1">
        <v>0</v>
      </c>
      <c r="AA2388" s="1">
        <v>0</v>
      </c>
      <c r="AB2388" s="1">
        <v>0</v>
      </c>
      <c r="AC2388" s="1">
        <v>0</v>
      </c>
      <c r="AD2388" s="1">
        <v>0</v>
      </c>
    </row>
    <row r="2389" spans="1:30" s="20" customFormat="1" ht="36" customHeight="1" x14ac:dyDescent="0.25">
      <c r="A2389" s="2">
        <f t="shared" si="1322"/>
        <v>2306</v>
      </c>
      <c r="B2389" s="3">
        <f t="shared" si="1295"/>
        <v>2306</v>
      </c>
      <c r="C2389" s="19" t="s">
        <v>1429</v>
      </c>
      <c r="D2389" s="4">
        <f t="shared" si="1356"/>
        <v>32086315</v>
      </c>
      <c r="E2389" s="1">
        <f t="shared" si="1331"/>
        <v>16264415.000000002</v>
      </c>
      <c r="F2389" s="1">
        <f>804*4143.8</f>
        <v>3331615.2</v>
      </c>
      <c r="G2389" s="1">
        <f>1693*4143.8</f>
        <v>7015453.4000000004</v>
      </c>
      <c r="H2389" s="1">
        <f>390*4143.8</f>
        <v>1616082</v>
      </c>
      <c r="I2389" s="1">
        <f>571*4143.8</f>
        <v>2366109.8000000003</v>
      </c>
      <c r="J2389" s="1">
        <f>467*4143.8</f>
        <v>1935154.6</v>
      </c>
      <c r="K2389" s="1">
        <v>0</v>
      </c>
      <c r="L2389" s="2">
        <v>0</v>
      </c>
      <c r="M2389" s="1">
        <v>0</v>
      </c>
      <c r="N2389" s="1">
        <v>1100</v>
      </c>
      <c r="O2389" s="1">
        <f>N2389*7750</f>
        <v>8525000</v>
      </c>
      <c r="P2389" s="1">
        <v>50</v>
      </c>
      <c r="Q2389" s="1">
        <f t="shared" si="1347"/>
        <v>70000</v>
      </c>
      <c r="R2389" s="1">
        <v>1900</v>
      </c>
      <c r="S2389" s="1">
        <f>R2389*3751</f>
        <v>7126900</v>
      </c>
      <c r="T2389" s="1">
        <v>0</v>
      </c>
      <c r="U2389" s="1">
        <v>50000</v>
      </c>
      <c r="V2389" s="1">
        <v>0</v>
      </c>
      <c r="W2389" s="1">
        <v>50000</v>
      </c>
      <c r="X2389" s="1">
        <v>0</v>
      </c>
      <c r="Y2389" s="1">
        <v>0</v>
      </c>
      <c r="Z2389" s="1">
        <v>0</v>
      </c>
      <c r="AA2389" s="1">
        <v>0</v>
      </c>
      <c r="AB2389" s="1">
        <v>0</v>
      </c>
      <c r="AC2389" s="1">
        <v>0</v>
      </c>
      <c r="AD2389" s="1">
        <v>0</v>
      </c>
    </row>
    <row r="2390" spans="1:30" s="20" customFormat="1" ht="36" customHeight="1" x14ac:dyDescent="0.25">
      <c r="A2390" s="2">
        <f t="shared" si="1322"/>
        <v>2307</v>
      </c>
      <c r="B2390" s="3">
        <f t="shared" si="1295"/>
        <v>2307</v>
      </c>
      <c r="C2390" s="19" t="s">
        <v>2573</v>
      </c>
      <c r="D2390" s="4">
        <f t="shared" si="1356"/>
        <v>13506918.5</v>
      </c>
      <c r="E2390" s="1">
        <f t="shared" si="1331"/>
        <v>7638442.4999999991</v>
      </c>
      <c r="F2390" s="1">
        <f>804*1946.1</f>
        <v>1564664.4</v>
      </c>
      <c r="G2390" s="1">
        <f>1693*1946.1</f>
        <v>3294747.3</v>
      </c>
      <c r="H2390" s="1">
        <f>390*1946.1</f>
        <v>758979</v>
      </c>
      <c r="I2390" s="1">
        <f>571*1946.1</f>
        <v>1111223.0999999999</v>
      </c>
      <c r="J2390" s="1">
        <f>467*1946.1</f>
        <v>908828.7</v>
      </c>
      <c r="K2390" s="1">
        <v>0</v>
      </c>
      <c r="L2390" s="2">
        <v>0</v>
      </c>
      <c r="M2390" s="1">
        <v>0</v>
      </c>
      <c r="N2390" s="1">
        <v>542</v>
      </c>
      <c r="O2390" s="1">
        <f>N2390*4968</f>
        <v>2692656</v>
      </c>
      <c r="P2390" s="1">
        <v>0</v>
      </c>
      <c r="Q2390" s="1">
        <f t="shared" si="1347"/>
        <v>0</v>
      </c>
      <c r="R2390" s="1">
        <v>820</v>
      </c>
      <c r="S2390" s="1">
        <f t="shared" si="1325"/>
        <v>3075820</v>
      </c>
      <c r="T2390" s="1">
        <v>0</v>
      </c>
      <c r="U2390" s="1">
        <v>50000</v>
      </c>
      <c r="V2390" s="1">
        <v>0</v>
      </c>
      <c r="W2390" s="1">
        <v>50000</v>
      </c>
      <c r="X2390" s="1">
        <v>0</v>
      </c>
      <c r="Y2390" s="1">
        <v>0</v>
      </c>
      <c r="Z2390" s="1">
        <v>0</v>
      </c>
      <c r="AA2390" s="1">
        <v>0</v>
      </c>
      <c r="AB2390" s="1">
        <v>0</v>
      </c>
      <c r="AC2390" s="1">
        <v>0</v>
      </c>
      <c r="AD2390" s="1">
        <v>0</v>
      </c>
    </row>
    <row r="2391" spans="1:30" s="20" customFormat="1" ht="36" customHeight="1" x14ac:dyDescent="0.25">
      <c r="A2391" s="2">
        <f t="shared" si="1322"/>
        <v>2308</v>
      </c>
      <c r="B2391" s="6">
        <f t="shared" si="1295"/>
        <v>2308</v>
      </c>
      <c r="C2391" s="19" t="s">
        <v>2574</v>
      </c>
      <c r="D2391" s="4">
        <f>E2391+M2391+O2391+Q2391+S2391+T2391+U2391+V2391+X2391+W2391+Z2391+AA2391+AB2391+AC2391+AD2391</f>
        <v>24164727.5</v>
      </c>
      <c r="E2391" s="1">
        <f t="shared" si="1331"/>
        <v>8826147.5</v>
      </c>
      <c r="F2391" s="1">
        <f>804*2248.7</f>
        <v>1807954.7999999998</v>
      </c>
      <c r="G2391" s="1">
        <f>1693*2248.7</f>
        <v>3807049.0999999996</v>
      </c>
      <c r="H2391" s="1">
        <f>390*2248.7</f>
        <v>876992.99999999988</v>
      </c>
      <c r="I2391" s="1">
        <f>571*2248.7</f>
        <v>1284007.7</v>
      </c>
      <c r="J2391" s="1">
        <f>467*2248.7</f>
        <v>1050142.8999999999</v>
      </c>
      <c r="K2391" s="1">
        <v>0</v>
      </c>
      <c r="L2391" s="2">
        <v>0</v>
      </c>
      <c r="M2391" s="1">
        <v>0</v>
      </c>
      <c r="N2391" s="1">
        <v>966</v>
      </c>
      <c r="O2391" s="1">
        <f>N2391*7750</f>
        <v>7486500</v>
      </c>
      <c r="P2391" s="1">
        <v>0</v>
      </c>
      <c r="Q2391" s="1">
        <f t="shared" si="1347"/>
        <v>0</v>
      </c>
      <c r="R2391" s="1">
        <v>2080</v>
      </c>
      <c r="S2391" s="1">
        <f t="shared" ref="S2391" si="1360">R2391*3751</f>
        <v>7802080</v>
      </c>
      <c r="T2391" s="1">
        <v>0</v>
      </c>
      <c r="U2391" s="1">
        <v>50000</v>
      </c>
      <c r="V2391" s="1">
        <v>0</v>
      </c>
      <c r="W2391" s="1">
        <v>0</v>
      </c>
      <c r="X2391" s="1">
        <v>0</v>
      </c>
      <c r="Y2391" s="1">
        <v>0</v>
      </c>
      <c r="Z2391" s="1">
        <v>0</v>
      </c>
      <c r="AA2391" s="1">
        <v>0</v>
      </c>
      <c r="AB2391" s="1">
        <v>0</v>
      </c>
      <c r="AC2391" s="1">
        <v>0</v>
      </c>
      <c r="AD2391" s="1">
        <v>0</v>
      </c>
    </row>
    <row r="2392" spans="1:30" s="20" customFormat="1" ht="36" customHeight="1" x14ac:dyDescent="0.25">
      <c r="A2392" s="2">
        <f t="shared" ref="A2392:A2454" si="1361">ROW()-ROW($A$11)-72</f>
        <v>2309</v>
      </c>
      <c r="B2392" s="3">
        <f t="shared" si="1295"/>
        <v>2309</v>
      </c>
      <c r="C2392" s="19" t="s">
        <v>1430</v>
      </c>
      <c r="D2392" s="4">
        <f>E2392+M2392+O2392+Q2392+S2392+T2392+U2392+V2392+W2392+X2392+Z2392+AA2392+AB2392+AC2392+AD2392</f>
        <v>9542185</v>
      </c>
      <c r="E2392" s="1">
        <f t="shared" si="1331"/>
        <v>2096735</v>
      </c>
      <c r="F2392" s="1">
        <f>804*534.2</f>
        <v>429496.80000000005</v>
      </c>
      <c r="G2392" s="1">
        <f>1693*534.2</f>
        <v>904400.60000000009</v>
      </c>
      <c r="H2392" s="1">
        <f>390*534.2</f>
        <v>208338.00000000003</v>
      </c>
      <c r="I2392" s="1">
        <f>571*534.2</f>
        <v>305028.2</v>
      </c>
      <c r="J2392" s="1">
        <f>467*534.2</f>
        <v>249471.40000000002</v>
      </c>
      <c r="K2392" s="1">
        <v>0</v>
      </c>
      <c r="L2392" s="2">
        <v>0</v>
      </c>
      <c r="M2392" s="1">
        <v>0</v>
      </c>
      <c r="N2392" s="1">
        <v>730</v>
      </c>
      <c r="O2392" s="1">
        <f>N2392*7750</f>
        <v>5657500</v>
      </c>
      <c r="P2392" s="1">
        <v>0</v>
      </c>
      <c r="Q2392" s="1">
        <f t="shared" si="1347"/>
        <v>0</v>
      </c>
      <c r="R2392" s="1">
        <v>450</v>
      </c>
      <c r="S2392" s="1">
        <f t="shared" si="1325"/>
        <v>1687950</v>
      </c>
      <c r="T2392" s="1">
        <v>0</v>
      </c>
      <c r="U2392" s="1">
        <v>50000</v>
      </c>
      <c r="V2392" s="1">
        <v>0</v>
      </c>
      <c r="W2392" s="1">
        <v>50000</v>
      </c>
      <c r="X2392" s="1">
        <v>0</v>
      </c>
      <c r="Y2392" s="1">
        <v>0</v>
      </c>
      <c r="Z2392" s="1">
        <v>0</v>
      </c>
      <c r="AA2392" s="1">
        <v>0</v>
      </c>
      <c r="AB2392" s="1">
        <v>0</v>
      </c>
      <c r="AC2392" s="1">
        <v>0</v>
      </c>
      <c r="AD2392" s="1">
        <v>0</v>
      </c>
    </row>
    <row r="2393" spans="1:30" s="20" customFormat="1" ht="36" customHeight="1" x14ac:dyDescent="0.25">
      <c r="A2393" s="2">
        <f t="shared" si="1361"/>
        <v>2310</v>
      </c>
      <c r="B2393" s="6">
        <f t="shared" si="1295"/>
        <v>2310</v>
      </c>
      <c r="C2393" s="19" t="s">
        <v>850</v>
      </c>
      <c r="D2393" s="4">
        <f>E2393+M2393+O2393+Q2393+S2393+T2393+U2393+V2393+X2393+W2393+Z2393+AA2393+AB2393+AC2393+AD2393</f>
        <v>20011568.75</v>
      </c>
      <c r="E2393" s="1">
        <f t="shared" si="1331"/>
        <v>19961568.75</v>
      </c>
      <c r="F2393" s="1">
        <f>804*5085.75</f>
        <v>4088943</v>
      </c>
      <c r="G2393" s="1">
        <f>1693*5085.75</f>
        <v>8610174.75</v>
      </c>
      <c r="H2393" s="1">
        <f>390*5085.75</f>
        <v>1983442.5</v>
      </c>
      <c r="I2393" s="1">
        <f>571*5085.75</f>
        <v>2903963.25</v>
      </c>
      <c r="J2393" s="1">
        <f>467*5085.75</f>
        <v>2375045.25</v>
      </c>
      <c r="K2393" s="1">
        <v>0</v>
      </c>
      <c r="L2393" s="2">
        <v>0</v>
      </c>
      <c r="M2393" s="1">
        <v>0</v>
      </c>
      <c r="N2393" s="1">
        <v>0</v>
      </c>
      <c r="O2393" s="1">
        <v>0</v>
      </c>
      <c r="P2393" s="1">
        <v>0</v>
      </c>
      <c r="Q2393" s="1">
        <f t="shared" si="1347"/>
        <v>0</v>
      </c>
      <c r="R2393" s="1">
        <v>0</v>
      </c>
      <c r="S2393" s="1">
        <f t="shared" si="1325"/>
        <v>0</v>
      </c>
      <c r="T2393" s="1">
        <v>0</v>
      </c>
      <c r="U2393" s="1">
        <v>50000</v>
      </c>
      <c r="V2393" s="1">
        <v>0</v>
      </c>
      <c r="W2393" s="1">
        <v>0</v>
      </c>
      <c r="X2393" s="1">
        <v>0</v>
      </c>
      <c r="Y2393" s="1">
        <v>0</v>
      </c>
      <c r="Z2393" s="1">
        <v>0</v>
      </c>
      <c r="AA2393" s="1">
        <v>0</v>
      </c>
      <c r="AB2393" s="1">
        <v>0</v>
      </c>
      <c r="AC2393" s="1">
        <v>0</v>
      </c>
      <c r="AD2393" s="1">
        <v>0</v>
      </c>
    </row>
    <row r="2394" spans="1:30" s="20" customFormat="1" ht="36" customHeight="1" x14ac:dyDescent="0.25">
      <c r="A2394" s="2">
        <f t="shared" si="1361"/>
        <v>2311</v>
      </c>
      <c r="B2394" s="3">
        <f t="shared" si="1295"/>
        <v>2311</v>
      </c>
      <c r="C2394" s="19" t="s">
        <v>1431</v>
      </c>
      <c r="D2394" s="4">
        <f t="shared" ref="D2394:D2457" si="1362">E2394+M2394+O2394+Q2394+S2394+T2394+U2394+V2394+W2394+X2394+Z2394+AA2394+AB2394+AC2394+AD2394</f>
        <v>39299465.5</v>
      </c>
      <c r="E2394" s="1">
        <f t="shared" si="1331"/>
        <v>22983465.499999996</v>
      </c>
      <c r="F2394" s="1">
        <f>804*5855.66</f>
        <v>4707950.6399999997</v>
      </c>
      <c r="G2394" s="1">
        <f>1693*5855.66</f>
        <v>9913632.379999999</v>
      </c>
      <c r="H2394" s="1">
        <f>390*5855.66</f>
        <v>2283707.4</v>
      </c>
      <c r="I2394" s="1">
        <f>571*5855.66</f>
        <v>3343581.86</v>
      </c>
      <c r="J2394" s="1">
        <f>467*5855.66</f>
        <v>2734593.2199999997</v>
      </c>
      <c r="K2394" s="1">
        <v>0</v>
      </c>
      <c r="L2394" s="2">
        <v>0</v>
      </c>
      <c r="M2394" s="1">
        <v>0</v>
      </c>
      <c r="N2394" s="1">
        <v>1150</v>
      </c>
      <c r="O2394" s="1">
        <f>N2394*4968</f>
        <v>5713200</v>
      </c>
      <c r="P2394" s="1">
        <v>0</v>
      </c>
      <c r="Q2394" s="1">
        <f t="shared" si="1347"/>
        <v>0</v>
      </c>
      <c r="R2394" s="1">
        <v>2800</v>
      </c>
      <c r="S2394" s="1">
        <f t="shared" si="1325"/>
        <v>10502800</v>
      </c>
      <c r="T2394" s="1">
        <v>0</v>
      </c>
      <c r="U2394" s="1">
        <v>50000</v>
      </c>
      <c r="V2394" s="1">
        <v>0</v>
      </c>
      <c r="W2394" s="1">
        <v>50000</v>
      </c>
      <c r="X2394" s="1">
        <v>0</v>
      </c>
      <c r="Y2394" s="1">
        <v>0</v>
      </c>
      <c r="Z2394" s="1">
        <v>0</v>
      </c>
      <c r="AA2394" s="1">
        <v>0</v>
      </c>
      <c r="AB2394" s="1">
        <v>0</v>
      </c>
      <c r="AC2394" s="1">
        <v>0</v>
      </c>
      <c r="AD2394" s="1">
        <v>0</v>
      </c>
    </row>
    <row r="2395" spans="1:30" s="20" customFormat="1" ht="36" customHeight="1" x14ac:dyDescent="0.25">
      <c r="A2395" s="2">
        <f t="shared" si="1361"/>
        <v>2312</v>
      </c>
      <c r="B2395" s="6">
        <f t="shared" ref="B2395" si="1363">A2395</f>
        <v>2312</v>
      </c>
      <c r="C2395" s="19" t="s">
        <v>1934</v>
      </c>
      <c r="D2395" s="4">
        <f t="shared" si="1362"/>
        <v>10700000</v>
      </c>
      <c r="E2395" s="1">
        <f t="shared" ref="E2395" si="1364">SUM(F2395:K2395)</f>
        <v>0</v>
      </c>
      <c r="F2395" s="1">
        <v>0</v>
      </c>
      <c r="G2395" s="1">
        <v>0</v>
      </c>
      <c r="H2395" s="1">
        <v>0</v>
      </c>
      <c r="I2395" s="1">
        <v>0</v>
      </c>
      <c r="J2395" s="1">
        <v>0</v>
      </c>
      <c r="K2395" s="1">
        <v>0</v>
      </c>
      <c r="L2395" s="2">
        <v>3</v>
      </c>
      <c r="M2395" s="1">
        <f t="shared" ref="M2395:M2400" si="1365">L2395*3500000</f>
        <v>10500000</v>
      </c>
      <c r="N2395" s="1">
        <v>0</v>
      </c>
      <c r="O2395" s="1">
        <v>0</v>
      </c>
      <c r="P2395" s="1">
        <v>0</v>
      </c>
      <c r="Q2395" s="1">
        <f t="shared" ref="Q2395" si="1366">P2395*1400</f>
        <v>0</v>
      </c>
      <c r="R2395" s="1">
        <v>0</v>
      </c>
      <c r="S2395" s="1">
        <f t="shared" si="1325"/>
        <v>0</v>
      </c>
      <c r="T2395" s="1">
        <v>0</v>
      </c>
      <c r="U2395" s="1">
        <v>200000</v>
      </c>
      <c r="V2395" s="1">
        <v>0</v>
      </c>
      <c r="W2395" s="1">
        <v>0</v>
      </c>
      <c r="X2395" s="1">
        <v>0</v>
      </c>
      <c r="Y2395" s="1">
        <v>0</v>
      </c>
      <c r="Z2395" s="1">
        <v>0</v>
      </c>
      <c r="AA2395" s="1">
        <v>0</v>
      </c>
      <c r="AB2395" s="1">
        <v>0</v>
      </c>
      <c r="AC2395" s="1">
        <v>0</v>
      </c>
      <c r="AD2395" s="1">
        <v>0</v>
      </c>
    </row>
    <row r="2396" spans="1:30" s="20" customFormat="1" ht="36" customHeight="1" x14ac:dyDescent="0.25">
      <c r="A2396" s="2">
        <f t="shared" si="1361"/>
        <v>2313</v>
      </c>
      <c r="B2396" s="6">
        <f t="shared" ref="B2396" si="1367">A2396</f>
        <v>2313</v>
      </c>
      <c r="C2396" s="19" t="s">
        <v>1935</v>
      </c>
      <c r="D2396" s="4">
        <f t="shared" si="1362"/>
        <v>7200000</v>
      </c>
      <c r="E2396" s="1">
        <f t="shared" ref="E2396" si="1368">SUM(F2396:K2396)</f>
        <v>0</v>
      </c>
      <c r="F2396" s="1">
        <v>0</v>
      </c>
      <c r="G2396" s="1">
        <v>0</v>
      </c>
      <c r="H2396" s="1">
        <v>0</v>
      </c>
      <c r="I2396" s="1">
        <v>0</v>
      </c>
      <c r="J2396" s="1">
        <v>0</v>
      </c>
      <c r="K2396" s="1">
        <v>0</v>
      </c>
      <c r="L2396" s="2">
        <v>2</v>
      </c>
      <c r="M2396" s="1">
        <f t="shared" si="1365"/>
        <v>7000000</v>
      </c>
      <c r="N2396" s="1">
        <v>0</v>
      </c>
      <c r="O2396" s="1">
        <v>0</v>
      </c>
      <c r="P2396" s="1">
        <v>0</v>
      </c>
      <c r="Q2396" s="1">
        <f t="shared" ref="Q2396" si="1369">P2396*1400</f>
        <v>0</v>
      </c>
      <c r="R2396" s="1">
        <v>0</v>
      </c>
      <c r="S2396" s="1">
        <f t="shared" ref="S2396" si="1370">R2396*3751</f>
        <v>0</v>
      </c>
      <c r="T2396" s="1">
        <v>0</v>
      </c>
      <c r="U2396" s="1">
        <v>200000</v>
      </c>
      <c r="V2396" s="1">
        <v>0</v>
      </c>
      <c r="W2396" s="1">
        <v>0</v>
      </c>
      <c r="X2396" s="1">
        <v>0</v>
      </c>
      <c r="Y2396" s="1">
        <v>0</v>
      </c>
      <c r="Z2396" s="1">
        <v>0</v>
      </c>
      <c r="AA2396" s="1">
        <v>0</v>
      </c>
      <c r="AB2396" s="1">
        <v>0</v>
      </c>
      <c r="AC2396" s="1">
        <v>0</v>
      </c>
      <c r="AD2396" s="1">
        <v>0</v>
      </c>
    </row>
    <row r="2397" spans="1:30" s="20" customFormat="1" ht="36" customHeight="1" x14ac:dyDescent="0.25">
      <c r="A2397" s="2">
        <f t="shared" si="1361"/>
        <v>2314</v>
      </c>
      <c r="B2397" s="6">
        <f t="shared" ref="B2397" si="1371">A2397</f>
        <v>2314</v>
      </c>
      <c r="C2397" s="19" t="s">
        <v>1936</v>
      </c>
      <c r="D2397" s="4">
        <f t="shared" si="1362"/>
        <v>28200000</v>
      </c>
      <c r="E2397" s="1">
        <f t="shared" ref="E2397" si="1372">SUM(F2397:K2397)</f>
        <v>0</v>
      </c>
      <c r="F2397" s="1">
        <v>0</v>
      </c>
      <c r="G2397" s="1">
        <v>0</v>
      </c>
      <c r="H2397" s="1">
        <v>0</v>
      </c>
      <c r="I2397" s="1">
        <v>0</v>
      </c>
      <c r="J2397" s="1">
        <v>0</v>
      </c>
      <c r="K2397" s="1">
        <v>0</v>
      </c>
      <c r="L2397" s="2">
        <v>8</v>
      </c>
      <c r="M2397" s="1">
        <f t="shared" si="1365"/>
        <v>28000000</v>
      </c>
      <c r="N2397" s="1">
        <v>0</v>
      </c>
      <c r="O2397" s="1">
        <v>0</v>
      </c>
      <c r="P2397" s="1">
        <v>0</v>
      </c>
      <c r="Q2397" s="1">
        <f t="shared" ref="Q2397" si="1373">P2397*1400</f>
        <v>0</v>
      </c>
      <c r="R2397" s="1">
        <v>0</v>
      </c>
      <c r="S2397" s="1">
        <f t="shared" ref="S2397" si="1374">R2397*3751</f>
        <v>0</v>
      </c>
      <c r="T2397" s="1">
        <v>0</v>
      </c>
      <c r="U2397" s="1">
        <v>200000</v>
      </c>
      <c r="V2397" s="1">
        <v>0</v>
      </c>
      <c r="W2397" s="1">
        <v>0</v>
      </c>
      <c r="X2397" s="1">
        <v>0</v>
      </c>
      <c r="Y2397" s="1">
        <v>0</v>
      </c>
      <c r="Z2397" s="1">
        <v>0</v>
      </c>
      <c r="AA2397" s="1">
        <v>0</v>
      </c>
      <c r="AB2397" s="1">
        <v>0</v>
      </c>
      <c r="AC2397" s="1">
        <v>0</v>
      </c>
      <c r="AD2397" s="1">
        <v>0</v>
      </c>
    </row>
    <row r="2398" spans="1:30" s="20" customFormat="1" ht="36" customHeight="1" x14ac:dyDescent="0.25">
      <c r="A2398" s="2">
        <f t="shared" si="1361"/>
        <v>2315</v>
      </c>
      <c r="B2398" s="6">
        <f t="shared" ref="B2398" si="1375">A2398</f>
        <v>2315</v>
      </c>
      <c r="C2398" s="19" t="s">
        <v>1937</v>
      </c>
      <c r="D2398" s="4">
        <f t="shared" si="1362"/>
        <v>7200000</v>
      </c>
      <c r="E2398" s="1">
        <f t="shared" ref="E2398" si="1376">SUM(F2398:K2398)</f>
        <v>0</v>
      </c>
      <c r="F2398" s="1">
        <v>0</v>
      </c>
      <c r="G2398" s="1">
        <v>0</v>
      </c>
      <c r="H2398" s="1">
        <v>0</v>
      </c>
      <c r="I2398" s="1">
        <v>0</v>
      </c>
      <c r="J2398" s="1">
        <v>0</v>
      </c>
      <c r="K2398" s="1">
        <v>0</v>
      </c>
      <c r="L2398" s="2">
        <v>2</v>
      </c>
      <c r="M2398" s="1">
        <f t="shared" si="1365"/>
        <v>7000000</v>
      </c>
      <c r="N2398" s="1">
        <v>0</v>
      </c>
      <c r="O2398" s="1">
        <v>0</v>
      </c>
      <c r="P2398" s="1">
        <v>0</v>
      </c>
      <c r="Q2398" s="1">
        <f t="shared" ref="Q2398" si="1377">P2398*1400</f>
        <v>0</v>
      </c>
      <c r="R2398" s="1">
        <v>0</v>
      </c>
      <c r="S2398" s="1">
        <f t="shared" ref="S2398" si="1378">R2398*3751</f>
        <v>0</v>
      </c>
      <c r="T2398" s="1">
        <v>0</v>
      </c>
      <c r="U2398" s="1">
        <v>200000</v>
      </c>
      <c r="V2398" s="1">
        <v>0</v>
      </c>
      <c r="W2398" s="1">
        <v>0</v>
      </c>
      <c r="X2398" s="1">
        <v>0</v>
      </c>
      <c r="Y2398" s="1">
        <v>0</v>
      </c>
      <c r="Z2398" s="1">
        <v>0</v>
      </c>
      <c r="AA2398" s="1">
        <v>0</v>
      </c>
      <c r="AB2398" s="1">
        <v>0</v>
      </c>
      <c r="AC2398" s="1">
        <v>0</v>
      </c>
      <c r="AD2398" s="1">
        <v>0</v>
      </c>
    </row>
    <row r="2399" spans="1:30" s="20" customFormat="1" ht="36" customHeight="1" x14ac:dyDescent="0.25">
      <c r="A2399" s="2">
        <f t="shared" si="1361"/>
        <v>2316</v>
      </c>
      <c r="B2399" s="6">
        <f t="shared" ref="B2399" si="1379">A2399</f>
        <v>2316</v>
      </c>
      <c r="C2399" s="19" t="s">
        <v>1938</v>
      </c>
      <c r="D2399" s="4">
        <f t="shared" si="1362"/>
        <v>3700000</v>
      </c>
      <c r="E2399" s="1">
        <f t="shared" ref="E2399" si="1380">SUM(F2399:K2399)</f>
        <v>0</v>
      </c>
      <c r="F2399" s="1">
        <v>0</v>
      </c>
      <c r="G2399" s="1">
        <v>0</v>
      </c>
      <c r="H2399" s="1">
        <v>0</v>
      </c>
      <c r="I2399" s="1">
        <v>0</v>
      </c>
      <c r="J2399" s="1">
        <v>0</v>
      </c>
      <c r="K2399" s="1">
        <v>0</v>
      </c>
      <c r="L2399" s="2">
        <v>1</v>
      </c>
      <c r="M2399" s="1">
        <f t="shared" si="1365"/>
        <v>3500000</v>
      </c>
      <c r="N2399" s="1">
        <v>0</v>
      </c>
      <c r="O2399" s="1">
        <v>0</v>
      </c>
      <c r="P2399" s="1">
        <v>0</v>
      </c>
      <c r="Q2399" s="1">
        <f t="shared" ref="Q2399" si="1381">P2399*1400</f>
        <v>0</v>
      </c>
      <c r="R2399" s="1">
        <v>0</v>
      </c>
      <c r="S2399" s="1">
        <f t="shared" ref="S2399" si="1382">R2399*3751</f>
        <v>0</v>
      </c>
      <c r="T2399" s="1">
        <v>0</v>
      </c>
      <c r="U2399" s="1">
        <v>200000</v>
      </c>
      <c r="V2399" s="1">
        <v>0</v>
      </c>
      <c r="W2399" s="1">
        <v>0</v>
      </c>
      <c r="X2399" s="1">
        <v>0</v>
      </c>
      <c r="Y2399" s="1">
        <v>0</v>
      </c>
      <c r="Z2399" s="1">
        <v>0</v>
      </c>
      <c r="AA2399" s="1">
        <v>0</v>
      </c>
      <c r="AB2399" s="1">
        <v>0</v>
      </c>
      <c r="AC2399" s="1">
        <v>0</v>
      </c>
      <c r="AD2399" s="1">
        <v>0</v>
      </c>
    </row>
    <row r="2400" spans="1:30" s="20" customFormat="1" ht="36" customHeight="1" x14ac:dyDescent="0.25">
      <c r="A2400" s="2">
        <f t="shared" si="1361"/>
        <v>2317</v>
      </c>
      <c r="B2400" s="6">
        <f t="shared" ref="B2400" si="1383">A2400</f>
        <v>2317</v>
      </c>
      <c r="C2400" s="19" t="s">
        <v>1939</v>
      </c>
      <c r="D2400" s="4">
        <f t="shared" si="1362"/>
        <v>17700000</v>
      </c>
      <c r="E2400" s="1">
        <f t="shared" ref="E2400" si="1384">SUM(F2400:K2400)</f>
        <v>0</v>
      </c>
      <c r="F2400" s="1">
        <v>0</v>
      </c>
      <c r="G2400" s="1">
        <v>0</v>
      </c>
      <c r="H2400" s="1">
        <v>0</v>
      </c>
      <c r="I2400" s="1">
        <v>0</v>
      </c>
      <c r="J2400" s="1">
        <v>0</v>
      </c>
      <c r="K2400" s="1">
        <v>0</v>
      </c>
      <c r="L2400" s="2">
        <v>5</v>
      </c>
      <c r="M2400" s="1">
        <f t="shared" si="1365"/>
        <v>17500000</v>
      </c>
      <c r="N2400" s="1">
        <v>0</v>
      </c>
      <c r="O2400" s="1">
        <v>0</v>
      </c>
      <c r="P2400" s="1">
        <v>0</v>
      </c>
      <c r="Q2400" s="1">
        <f t="shared" ref="Q2400" si="1385">P2400*1400</f>
        <v>0</v>
      </c>
      <c r="R2400" s="1">
        <v>0</v>
      </c>
      <c r="S2400" s="1">
        <f t="shared" ref="S2400" si="1386">R2400*3751</f>
        <v>0</v>
      </c>
      <c r="T2400" s="1">
        <v>0</v>
      </c>
      <c r="U2400" s="1">
        <v>200000</v>
      </c>
      <c r="V2400" s="1">
        <v>0</v>
      </c>
      <c r="W2400" s="1">
        <v>0</v>
      </c>
      <c r="X2400" s="1">
        <v>0</v>
      </c>
      <c r="Y2400" s="1">
        <v>0</v>
      </c>
      <c r="Z2400" s="1">
        <v>0</v>
      </c>
      <c r="AA2400" s="1">
        <v>0</v>
      </c>
      <c r="AB2400" s="1">
        <v>0</v>
      </c>
      <c r="AC2400" s="1">
        <v>0</v>
      </c>
      <c r="AD2400" s="1">
        <v>0</v>
      </c>
    </row>
    <row r="2401" spans="1:30" s="20" customFormat="1" ht="36" customHeight="1" x14ac:dyDescent="0.25">
      <c r="A2401" s="2">
        <f t="shared" si="1361"/>
        <v>2318</v>
      </c>
      <c r="B2401" s="3">
        <f t="shared" si="1295"/>
        <v>2318</v>
      </c>
      <c r="C2401" s="19" t="s">
        <v>1432</v>
      </c>
      <c r="D2401" s="4">
        <f t="shared" si="1362"/>
        <v>35088158.5</v>
      </c>
      <c r="E2401" s="1">
        <f t="shared" si="1331"/>
        <v>22843578.500000004</v>
      </c>
      <c r="F2401" s="1">
        <f>804*5820.02</f>
        <v>4679296.08</v>
      </c>
      <c r="G2401" s="1">
        <f>1693*5820.02</f>
        <v>9853293.8600000013</v>
      </c>
      <c r="H2401" s="1">
        <f>390*5820.02</f>
        <v>2269807.8000000003</v>
      </c>
      <c r="I2401" s="1">
        <f>571*5820.02</f>
        <v>3323231.4200000004</v>
      </c>
      <c r="J2401" s="1">
        <f>467*5820.02</f>
        <v>2717949.3400000003</v>
      </c>
      <c r="K2401" s="1">
        <v>0</v>
      </c>
      <c r="L2401" s="2">
        <v>0</v>
      </c>
      <c r="M2401" s="1">
        <v>0</v>
      </c>
      <c r="N2401" s="1">
        <v>1010</v>
      </c>
      <c r="O2401" s="1">
        <f>N2401*4968</f>
        <v>5017680</v>
      </c>
      <c r="P2401" s="1">
        <v>0</v>
      </c>
      <c r="Q2401" s="1">
        <f t="shared" si="1347"/>
        <v>0</v>
      </c>
      <c r="R2401" s="1">
        <v>1900</v>
      </c>
      <c r="S2401" s="1">
        <f t="shared" si="1325"/>
        <v>7126900</v>
      </c>
      <c r="T2401" s="1">
        <v>0</v>
      </c>
      <c r="U2401" s="1">
        <v>50000</v>
      </c>
      <c r="V2401" s="1">
        <v>0</v>
      </c>
      <c r="W2401" s="1">
        <v>50000</v>
      </c>
      <c r="X2401" s="1">
        <v>0</v>
      </c>
      <c r="Y2401" s="1">
        <v>0</v>
      </c>
      <c r="Z2401" s="1">
        <v>0</v>
      </c>
      <c r="AA2401" s="1">
        <v>0</v>
      </c>
      <c r="AB2401" s="1">
        <v>0</v>
      </c>
      <c r="AC2401" s="1">
        <v>0</v>
      </c>
      <c r="AD2401" s="1">
        <v>0</v>
      </c>
    </row>
    <row r="2402" spans="1:30" s="20" customFormat="1" ht="36" customHeight="1" x14ac:dyDescent="0.25">
      <c r="A2402" s="2">
        <f t="shared" si="1361"/>
        <v>2319</v>
      </c>
      <c r="B2402" s="3">
        <f t="shared" si="1295"/>
        <v>2319</v>
      </c>
      <c r="C2402" s="19" t="s">
        <v>1433</v>
      </c>
      <c r="D2402" s="4">
        <f t="shared" si="1362"/>
        <v>35178363.25</v>
      </c>
      <c r="E2402" s="1">
        <f t="shared" si="1331"/>
        <v>20681963.25</v>
      </c>
      <c r="F2402" s="1">
        <f>804*5269.29</f>
        <v>4236509.16</v>
      </c>
      <c r="G2402" s="1">
        <f>1693*5269.29</f>
        <v>8920907.9700000007</v>
      </c>
      <c r="H2402" s="1">
        <f>390*5269.29</f>
        <v>2055023.1</v>
      </c>
      <c r="I2402" s="1">
        <f>571*5269.29</f>
        <v>3008764.59</v>
      </c>
      <c r="J2402" s="1">
        <f>467*5269.29</f>
        <v>2460758.4300000002</v>
      </c>
      <c r="K2402" s="1">
        <v>0</v>
      </c>
      <c r="L2402" s="2">
        <v>0</v>
      </c>
      <c r="M2402" s="1">
        <v>0</v>
      </c>
      <c r="N2402" s="1">
        <v>938</v>
      </c>
      <c r="O2402" s="1">
        <f>N2402*7750</f>
        <v>7269500</v>
      </c>
      <c r="P2402" s="1">
        <v>0</v>
      </c>
      <c r="Q2402" s="1">
        <f t="shared" si="1347"/>
        <v>0</v>
      </c>
      <c r="R2402" s="1">
        <v>1900</v>
      </c>
      <c r="S2402" s="1">
        <f t="shared" si="1325"/>
        <v>7126900</v>
      </c>
      <c r="T2402" s="1">
        <v>0</v>
      </c>
      <c r="U2402" s="1">
        <v>50000</v>
      </c>
      <c r="V2402" s="1">
        <v>0</v>
      </c>
      <c r="W2402" s="1">
        <v>50000</v>
      </c>
      <c r="X2402" s="1">
        <v>0</v>
      </c>
      <c r="Y2402" s="1">
        <v>0</v>
      </c>
      <c r="Z2402" s="1">
        <v>0</v>
      </c>
      <c r="AA2402" s="1">
        <v>0</v>
      </c>
      <c r="AB2402" s="1">
        <v>0</v>
      </c>
      <c r="AC2402" s="1">
        <v>0</v>
      </c>
      <c r="AD2402" s="1">
        <v>0</v>
      </c>
    </row>
    <row r="2403" spans="1:30" s="20" customFormat="1" ht="36" customHeight="1" x14ac:dyDescent="0.25">
      <c r="A2403" s="2">
        <f t="shared" si="1361"/>
        <v>2320</v>
      </c>
      <c r="B2403" s="3">
        <f t="shared" si="1295"/>
        <v>2320</v>
      </c>
      <c r="C2403" s="19" t="s">
        <v>1434</v>
      </c>
      <c r="D2403" s="4">
        <f t="shared" si="1362"/>
        <v>26021372.499999996</v>
      </c>
      <c r="E2403" s="1">
        <f t="shared" si="1331"/>
        <v>17669172.499999996</v>
      </c>
      <c r="F2403" s="1">
        <f>804*4501.7</f>
        <v>3619366.8</v>
      </c>
      <c r="G2403" s="1">
        <f>1693*4501.7</f>
        <v>7621378.0999999996</v>
      </c>
      <c r="H2403" s="1">
        <f>390*4501.7</f>
        <v>1755663</v>
      </c>
      <c r="I2403" s="1">
        <f>571*4501.7</f>
        <v>2570470.6999999997</v>
      </c>
      <c r="J2403" s="1">
        <f>467*4501.7</f>
        <v>2102293.9</v>
      </c>
      <c r="K2403" s="1">
        <v>0</v>
      </c>
      <c r="L2403" s="2">
        <v>0</v>
      </c>
      <c r="M2403" s="1">
        <v>0</v>
      </c>
      <c r="N2403" s="1">
        <v>0</v>
      </c>
      <c r="O2403" s="1">
        <v>0</v>
      </c>
      <c r="P2403" s="1">
        <v>0</v>
      </c>
      <c r="Q2403" s="1">
        <f t="shared" si="1347"/>
        <v>0</v>
      </c>
      <c r="R2403" s="1">
        <v>2200</v>
      </c>
      <c r="S2403" s="1">
        <f t="shared" si="1325"/>
        <v>8252200</v>
      </c>
      <c r="T2403" s="1">
        <v>0</v>
      </c>
      <c r="U2403" s="1">
        <v>50000</v>
      </c>
      <c r="V2403" s="1">
        <v>0</v>
      </c>
      <c r="W2403" s="1">
        <v>50000</v>
      </c>
      <c r="X2403" s="1">
        <v>0</v>
      </c>
      <c r="Y2403" s="1">
        <v>0</v>
      </c>
      <c r="Z2403" s="1">
        <v>0</v>
      </c>
      <c r="AA2403" s="1">
        <v>0</v>
      </c>
      <c r="AB2403" s="1">
        <v>0</v>
      </c>
      <c r="AC2403" s="1">
        <v>0</v>
      </c>
      <c r="AD2403" s="1">
        <v>0</v>
      </c>
    </row>
    <row r="2404" spans="1:30" s="20" customFormat="1" ht="36" customHeight="1" x14ac:dyDescent="0.25">
      <c r="A2404" s="2">
        <f t="shared" si="1361"/>
        <v>2321</v>
      </c>
      <c r="B2404" s="3">
        <f t="shared" ref="B2404:B2409" si="1387">A2404</f>
        <v>2321</v>
      </c>
      <c r="C2404" s="19" t="s">
        <v>1437</v>
      </c>
      <c r="D2404" s="4">
        <f t="shared" si="1362"/>
        <v>38638078.5</v>
      </c>
      <c r="E2404" s="1">
        <f t="shared" ref="E2404:E2409" si="1388">SUM(F2404:K2404)</f>
        <v>23646162.5</v>
      </c>
      <c r="F2404" s="1">
        <f>804*6024.5</f>
        <v>4843698</v>
      </c>
      <c r="G2404" s="1">
        <f>1693*6024.5</f>
        <v>10199478.5</v>
      </c>
      <c r="H2404" s="1">
        <f>390*6024.5</f>
        <v>2349555</v>
      </c>
      <c r="I2404" s="1">
        <f>571*6024.5</f>
        <v>3439989.5</v>
      </c>
      <c r="J2404" s="1">
        <f>467*6024.5</f>
        <v>2813441.5</v>
      </c>
      <c r="K2404" s="1">
        <v>0</v>
      </c>
      <c r="L2404" s="2">
        <v>0</v>
      </c>
      <c r="M2404" s="1">
        <v>0</v>
      </c>
      <c r="N2404" s="1">
        <v>1412</v>
      </c>
      <c r="O2404" s="1">
        <f>N2404*4968</f>
        <v>7014816</v>
      </c>
      <c r="P2404" s="1">
        <v>0</v>
      </c>
      <c r="Q2404" s="1">
        <f t="shared" ref="Q2404:Q2409" si="1389">P2404*1400</f>
        <v>0</v>
      </c>
      <c r="R2404" s="1">
        <v>2100</v>
      </c>
      <c r="S2404" s="1">
        <f t="shared" ref="S2404:S2409" si="1390">R2404*3751</f>
        <v>7877100</v>
      </c>
      <c r="T2404" s="1">
        <v>0</v>
      </c>
      <c r="U2404" s="1">
        <v>50000</v>
      </c>
      <c r="V2404" s="1">
        <v>0</v>
      </c>
      <c r="W2404" s="1">
        <v>50000</v>
      </c>
      <c r="X2404" s="1">
        <v>0</v>
      </c>
      <c r="Y2404" s="1">
        <v>0</v>
      </c>
      <c r="Z2404" s="1">
        <v>0</v>
      </c>
      <c r="AA2404" s="1">
        <v>0</v>
      </c>
      <c r="AB2404" s="1">
        <v>0</v>
      </c>
      <c r="AC2404" s="1">
        <v>0</v>
      </c>
      <c r="AD2404" s="1">
        <v>0</v>
      </c>
    </row>
    <row r="2405" spans="1:30" s="20" customFormat="1" ht="36" customHeight="1" x14ac:dyDescent="0.25">
      <c r="A2405" s="2">
        <f t="shared" si="1361"/>
        <v>2322</v>
      </c>
      <c r="B2405" s="6">
        <f t="shared" si="1387"/>
        <v>2322</v>
      </c>
      <c r="C2405" s="19" t="s">
        <v>861</v>
      </c>
      <c r="D2405" s="4">
        <f t="shared" si="1362"/>
        <v>34419568.5</v>
      </c>
      <c r="E2405" s="1">
        <f t="shared" si="1388"/>
        <v>27126224.500000004</v>
      </c>
      <c r="F2405" s="1">
        <f>804*6911.14</f>
        <v>5556556.5600000005</v>
      </c>
      <c r="G2405" s="1">
        <f>1693*6911.14</f>
        <v>11700560.020000001</v>
      </c>
      <c r="H2405" s="1">
        <f>390*6911.14</f>
        <v>2695344.6</v>
      </c>
      <c r="I2405" s="1">
        <f>571*6911.14</f>
        <v>3946260.9400000004</v>
      </c>
      <c r="J2405" s="1">
        <f>467*6911.14</f>
        <v>3227502.3800000004</v>
      </c>
      <c r="K2405" s="1">
        <v>0</v>
      </c>
      <c r="L2405" s="2">
        <v>0</v>
      </c>
      <c r="M2405" s="1">
        <v>0</v>
      </c>
      <c r="N2405" s="1">
        <v>1458</v>
      </c>
      <c r="O2405" s="1">
        <f>N2405*4968</f>
        <v>7243344</v>
      </c>
      <c r="P2405" s="1">
        <v>0</v>
      </c>
      <c r="Q2405" s="1">
        <f t="shared" si="1389"/>
        <v>0</v>
      </c>
      <c r="R2405" s="1">
        <v>0</v>
      </c>
      <c r="S2405" s="1">
        <f t="shared" si="1390"/>
        <v>0</v>
      </c>
      <c r="T2405" s="1">
        <v>0</v>
      </c>
      <c r="U2405" s="1">
        <v>50000</v>
      </c>
      <c r="V2405" s="1">
        <v>0</v>
      </c>
      <c r="W2405" s="1">
        <v>0</v>
      </c>
      <c r="X2405" s="1">
        <v>0</v>
      </c>
      <c r="Y2405" s="1">
        <v>0</v>
      </c>
      <c r="Z2405" s="1">
        <v>0</v>
      </c>
      <c r="AA2405" s="1">
        <v>0</v>
      </c>
      <c r="AB2405" s="1">
        <v>0</v>
      </c>
      <c r="AC2405" s="1">
        <v>0</v>
      </c>
      <c r="AD2405" s="1">
        <v>0</v>
      </c>
    </row>
    <row r="2406" spans="1:30" s="20" customFormat="1" ht="36" customHeight="1" x14ac:dyDescent="0.25">
      <c r="A2406" s="2">
        <f t="shared" si="1361"/>
        <v>2323</v>
      </c>
      <c r="B2406" s="6">
        <f t="shared" si="1387"/>
        <v>2323</v>
      </c>
      <c r="C2406" s="19" t="s">
        <v>863</v>
      </c>
      <c r="D2406" s="4">
        <f t="shared" si="1362"/>
        <v>4818960</v>
      </c>
      <c r="E2406" s="1">
        <f t="shared" si="1388"/>
        <v>0</v>
      </c>
      <c r="F2406" s="1">
        <v>0</v>
      </c>
      <c r="G2406" s="1">
        <v>0</v>
      </c>
      <c r="H2406" s="1">
        <v>0</v>
      </c>
      <c r="I2406" s="1">
        <v>0</v>
      </c>
      <c r="J2406" s="1">
        <v>0</v>
      </c>
      <c r="K2406" s="1">
        <v>0</v>
      </c>
      <c r="L2406" s="2">
        <v>0</v>
      </c>
      <c r="M2406" s="1">
        <v>0</v>
      </c>
      <c r="N2406" s="1">
        <v>970</v>
      </c>
      <c r="O2406" s="1">
        <f>N2406*4968</f>
        <v>4818960</v>
      </c>
      <c r="P2406" s="1">
        <v>0</v>
      </c>
      <c r="Q2406" s="1">
        <f t="shared" si="1389"/>
        <v>0</v>
      </c>
      <c r="R2406" s="1">
        <v>0</v>
      </c>
      <c r="S2406" s="1">
        <f t="shared" si="1390"/>
        <v>0</v>
      </c>
      <c r="T2406" s="1">
        <v>0</v>
      </c>
      <c r="U2406" s="1">
        <v>0</v>
      </c>
      <c r="V2406" s="1">
        <v>0</v>
      </c>
      <c r="W2406" s="1">
        <v>0</v>
      </c>
      <c r="X2406" s="1">
        <v>0</v>
      </c>
      <c r="Y2406" s="1">
        <v>0</v>
      </c>
      <c r="Z2406" s="1">
        <v>0</v>
      </c>
      <c r="AA2406" s="1">
        <v>0</v>
      </c>
      <c r="AB2406" s="1">
        <v>0</v>
      </c>
      <c r="AC2406" s="1">
        <v>0</v>
      </c>
      <c r="AD2406" s="1">
        <v>0</v>
      </c>
    </row>
    <row r="2407" spans="1:30" s="20" customFormat="1" ht="36" customHeight="1" x14ac:dyDescent="0.25">
      <c r="A2407" s="2">
        <f t="shared" si="1361"/>
        <v>2324</v>
      </c>
      <c r="B2407" s="6">
        <f t="shared" si="1387"/>
        <v>2324</v>
      </c>
      <c r="C2407" s="19" t="s">
        <v>864</v>
      </c>
      <c r="D2407" s="4">
        <f t="shared" si="1362"/>
        <v>23371280.75</v>
      </c>
      <c r="E2407" s="1">
        <f t="shared" si="1388"/>
        <v>18522192.75</v>
      </c>
      <c r="F2407" s="1">
        <f>804*4719.03</f>
        <v>3794100.1199999996</v>
      </c>
      <c r="G2407" s="1">
        <f>1693*4719.03</f>
        <v>7989317.7899999991</v>
      </c>
      <c r="H2407" s="1">
        <f>390*4719.03</f>
        <v>1840421.7</v>
      </c>
      <c r="I2407" s="1">
        <f>571*4719.03</f>
        <v>2694566.13</v>
      </c>
      <c r="J2407" s="1">
        <f>467*4719.03</f>
        <v>2203787.0099999998</v>
      </c>
      <c r="K2407" s="1">
        <v>0</v>
      </c>
      <c r="L2407" s="2">
        <v>0</v>
      </c>
      <c r="M2407" s="1">
        <v>0</v>
      </c>
      <c r="N2407" s="1">
        <v>966</v>
      </c>
      <c r="O2407" s="1">
        <f>N2407*4968</f>
        <v>4799088</v>
      </c>
      <c r="P2407" s="1">
        <v>0</v>
      </c>
      <c r="Q2407" s="1">
        <f t="shared" si="1389"/>
        <v>0</v>
      </c>
      <c r="R2407" s="1">
        <v>0</v>
      </c>
      <c r="S2407" s="1">
        <f t="shared" si="1390"/>
        <v>0</v>
      </c>
      <c r="T2407" s="1">
        <v>0</v>
      </c>
      <c r="U2407" s="1">
        <v>50000</v>
      </c>
      <c r="V2407" s="1">
        <v>0</v>
      </c>
      <c r="W2407" s="1">
        <v>0</v>
      </c>
      <c r="X2407" s="1">
        <v>0</v>
      </c>
      <c r="Y2407" s="1">
        <v>0</v>
      </c>
      <c r="Z2407" s="1">
        <v>0</v>
      </c>
      <c r="AA2407" s="1">
        <v>0</v>
      </c>
      <c r="AB2407" s="1">
        <v>0</v>
      </c>
      <c r="AC2407" s="1">
        <v>0</v>
      </c>
      <c r="AD2407" s="1">
        <v>0</v>
      </c>
    </row>
    <row r="2408" spans="1:30" s="20" customFormat="1" ht="36" customHeight="1" x14ac:dyDescent="0.25">
      <c r="A2408" s="2">
        <f t="shared" si="1361"/>
        <v>2325</v>
      </c>
      <c r="B2408" s="6">
        <f t="shared" si="1387"/>
        <v>2325</v>
      </c>
      <c r="C2408" s="19" t="s">
        <v>866</v>
      </c>
      <c r="D2408" s="4">
        <f t="shared" si="1362"/>
        <v>4918320</v>
      </c>
      <c r="E2408" s="1">
        <f t="shared" si="1388"/>
        <v>0</v>
      </c>
      <c r="F2408" s="1">
        <v>0</v>
      </c>
      <c r="G2408" s="1">
        <v>0</v>
      </c>
      <c r="H2408" s="1">
        <v>0</v>
      </c>
      <c r="I2408" s="1">
        <v>0</v>
      </c>
      <c r="J2408" s="1">
        <v>0</v>
      </c>
      <c r="K2408" s="1">
        <v>0</v>
      </c>
      <c r="L2408" s="2">
        <v>0</v>
      </c>
      <c r="M2408" s="1">
        <v>0</v>
      </c>
      <c r="N2408" s="1">
        <v>990</v>
      </c>
      <c r="O2408" s="1">
        <f>N2408*4968</f>
        <v>4918320</v>
      </c>
      <c r="P2408" s="1">
        <v>0</v>
      </c>
      <c r="Q2408" s="1">
        <f t="shared" si="1389"/>
        <v>0</v>
      </c>
      <c r="R2408" s="1">
        <v>0</v>
      </c>
      <c r="S2408" s="1">
        <f t="shared" si="1390"/>
        <v>0</v>
      </c>
      <c r="T2408" s="1">
        <v>0</v>
      </c>
      <c r="U2408" s="1">
        <v>0</v>
      </c>
      <c r="V2408" s="1">
        <v>0</v>
      </c>
      <c r="W2408" s="1">
        <v>0</v>
      </c>
      <c r="X2408" s="1">
        <v>0</v>
      </c>
      <c r="Y2408" s="1">
        <v>0</v>
      </c>
      <c r="Z2408" s="1">
        <v>0</v>
      </c>
      <c r="AA2408" s="1">
        <v>0</v>
      </c>
      <c r="AB2408" s="1">
        <v>0</v>
      </c>
      <c r="AC2408" s="1">
        <v>0</v>
      </c>
      <c r="AD2408" s="1">
        <v>0</v>
      </c>
    </row>
    <row r="2409" spans="1:30" s="20" customFormat="1" ht="36" customHeight="1" x14ac:dyDescent="0.25">
      <c r="A2409" s="2">
        <f t="shared" si="1361"/>
        <v>2326</v>
      </c>
      <c r="B2409" s="6">
        <f t="shared" si="1387"/>
        <v>2326</v>
      </c>
      <c r="C2409" s="30" t="s">
        <v>868</v>
      </c>
      <c r="D2409" s="4">
        <f t="shared" si="1362"/>
        <v>15317188</v>
      </c>
      <c r="E2409" s="1">
        <f t="shared" si="1388"/>
        <v>10390888</v>
      </c>
      <c r="F2409" s="1">
        <f>804*2647.36</f>
        <v>2128477.44</v>
      </c>
      <c r="G2409" s="1">
        <f>1693*2647.36</f>
        <v>4481980.4800000004</v>
      </c>
      <c r="H2409" s="1">
        <f>390*2647.36</f>
        <v>1032470.4</v>
      </c>
      <c r="I2409" s="1">
        <f>571*2647.36</f>
        <v>1511642.56</v>
      </c>
      <c r="J2409" s="1">
        <f>467*2647.36</f>
        <v>1236317.1200000001</v>
      </c>
      <c r="K2409" s="1">
        <v>0</v>
      </c>
      <c r="L2409" s="2">
        <v>0</v>
      </c>
      <c r="M2409" s="1">
        <v>0</v>
      </c>
      <c r="N2409" s="1">
        <v>0</v>
      </c>
      <c r="O2409" s="1">
        <v>0</v>
      </c>
      <c r="P2409" s="1">
        <v>0</v>
      </c>
      <c r="Q2409" s="1">
        <f t="shared" si="1389"/>
        <v>0</v>
      </c>
      <c r="R2409" s="1">
        <v>1300</v>
      </c>
      <c r="S2409" s="1">
        <f t="shared" si="1390"/>
        <v>4876300</v>
      </c>
      <c r="T2409" s="1">
        <v>0</v>
      </c>
      <c r="U2409" s="1">
        <v>50000</v>
      </c>
      <c r="V2409" s="1">
        <v>0</v>
      </c>
      <c r="W2409" s="1">
        <v>0</v>
      </c>
      <c r="X2409" s="1">
        <v>0</v>
      </c>
      <c r="Y2409" s="1">
        <v>0</v>
      </c>
      <c r="Z2409" s="1">
        <v>0</v>
      </c>
      <c r="AA2409" s="1">
        <v>0</v>
      </c>
      <c r="AB2409" s="1">
        <v>0</v>
      </c>
      <c r="AC2409" s="1">
        <v>0</v>
      </c>
      <c r="AD2409" s="1">
        <v>0</v>
      </c>
    </row>
    <row r="2410" spans="1:30" s="20" customFormat="1" ht="36" customHeight="1" x14ac:dyDescent="0.25">
      <c r="A2410" s="2">
        <f t="shared" si="1361"/>
        <v>2327</v>
      </c>
      <c r="B2410" s="3">
        <f t="shared" si="1295"/>
        <v>2327</v>
      </c>
      <c r="C2410" s="30" t="s">
        <v>1435</v>
      </c>
      <c r="D2410" s="4">
        <f t="shared" si="1362"/>
        <v>50141980.25</v>
      </c>
      <c r="E2410" s="1">
        <f t="shared" si="1331"/>
        <v>30460080.25</v>
      </c>
      <c r="F2410" s="1">
        <f>804*7760.53</f>
        <v>6239466.1200000001</v>
      </c>
      <c r="G2410" s="1">
        <f>1693*7760.53</f>
        <v>13138577.289999999</v>
      </c>
      <c r="H2410" s="1">
        <f>390*7760.53</f>
        <v>3026606.6999999997</v>
      </c>
      <c r="I2410" s="1">
        <f>571*7760.53</f>
        <v>4431262.63</v>
      </c>
      <c r="J2410" s="1">
        <f>467*7760.53</f>
        <v>3624167.51</v>
      </c>
      <c r="K2410" s="1">
        <v>0</v>
      </c>
      <c r="L2410" s="2">
        <v>0</v>
      </c>
      <c r="M2410" s="1">
        <v>0</v>
      </c>
      <c r="N2410" s="1">
        <v>1450</v>
      </c>
      <c r="O2410" s="1">
        <f>N2410*4968</f>
        <v>7203600</v>
      </c>
      <c r="P2410" s="1">
        <v>0</v>
      </c>
      <c r="Q2410" s="1">
        <f t="shared" si="1347"/>
        <v>0</v>
      </c>
      <c r="R2410" s="1">
        <v>3300</v>
      </c>
      <c r="S2410" s="1">
        <f t="shared" si="1325"/>
        <v>12378300</v>
      </c>
      <c r="T2410" s="1">
        <v>0</v>
      </c>
      <c r="U2410" s="1">
        <v>50000</v>
      </c>
      <c r="V2410" s="1">
        <v>0</v>
      </c>
      <c r="W2410" s="1">
        <v>50000</v>
      </c>
      <c r="X2410" s="1">
        <v>0</v>
      </c>
      <c r="Y2410" s="1">
        <v>0</v>
      </c>
      <c r="Z2410" s="1">
        <v>0</v>
      </c>
      <c r="AA2410" s="1">
        <v>0</v>
      </c>
      <c r="AB2410" s="1">
        <v>0</v>
      </c>
      <c r="AC2410" s="1">
        <v>0</v>
      </c>
      <c r="AD2410" s="1">
        <v>0</v>
      </c>
    </row>
    <row r="2411" spans="1:30" s="20" customFormat="1" ht="36" customHeight="1" x14ac:dyDescent="0.25">
      <c r="A2411" s="2">
        <f t="shared" si="1361"/>
        <v>2328</v>
      </c>
      <c r="B2411" s="3">
        <f t="shared" si="1295"/>
        <v>2328</v>
      </c>
      <c r="C2411" s="30" t="s">
        <v>1436</v>
      </c>
      <c r="D2411" s="4">
        <f t="shared" si="1362"/>
        <v>22372412.5</v>
      </c>
      <c r="E2411" s="1">
        <f t="shared" si="1331"/>
        <v>22272412.5</v>
      </c>
      <c r="F2411" s="1">
        <f>804*5674.5</f>
        <v>4562298</v>
      </c>
      <c r="G2411" s="1">
        <f>1693*5674.5</f>
        <v>9606928.5</v>
      </c>
      <c r="H2411" s="1">
        <f>390*5674.5</f>
        <v>2213055</v>
      </c>
      <c r="I2411" s="1">
        <f>571*5674.5</f>
        <v>3240139.5</v>
      </c>
      <c r="J2411" s="1">
        <f>467*5674.5</f>
        <v>2649991.5</v>
      </c>
      <c r="K2411" s="1">
        <v>0</v>
      </c>
      <c r="L2411" s="2">
        <v>0</v>
      </c>
      <c r="M2411" s="1">
        <v>0</v>
      </c>
      <c r="N2411" s="1">
        <v>0</v>
      </c>
      <c r="O2411" s="1">
        <v>0</v>
      </c>
      <c r="P2411" s="1">
        <v>0</v>
      </c>
      <c r="Q2411" s="1">
        <f t="shared" si="1347"/>
        <v>0</v>
      </c>
      <c r="R2411" s="1">
        <v>0</v>
      </c>
      <c r="S2411" s="1">
        <f>R2411*3751</f>
        <v>0</v>
      </c>
      <c r="T2411" s="1">
        <v>0</v>
      </c>
      <c r="U2411" s="1">
        <v>50000</v>
      </c>
      <c r="V2411" s="1">
        <v>0</v>
      </c>
      <c r="W2411" s="1">
        <v>50000</v>
      </c>
      <c r="X2411" s="1">
        <v>0</v>
      </c>
      <c r="Y2411" s="1">
        <v>0</v>
      </c>
      <c r="Z2411" s="1">
        <v>0</v>
      </c>
      <c r="AA2411" s="1">
        <v>0</v>
      </c>
      <c r="AB2411" s="1">
        <v>0</v>
      </c>
      <c r="AC2411" s="1">
        <v>0</v>
      </c>
      <c r="AD2411" s="1">
        <v>0</v>
      </c>
    </row>
    <row r="2412" spans="1:30" s="20" customFormat="1" ht="36" customHeight="1" x14ac:dyDescent="0.25">
      <c r="A2412" s="2">
        <f t="shared" si="1361"/>
        <v>2329</v>
      </c>
      <c r="B2412" s="3">
        <f t="shared" si="1295"/>
        <v>2329</v>
      </c>
      <c r="C2412" s="19" t="s">
        <v>1438</v>
      </c>
      <c r="D2412" s="4">
        <f t="shared" si="1362"/>
        <v>11211440</v>
      </c>
      <c r="E2412" s="1">
        <f t="shared" si="1331"/>
        <v>4959630</v>
      </c>
      <c r="F2412" s="1">
        <f>804*1263.6</f>
        <v>1015934.3999999999</v>
      </c>
      <c r="G2412" s="1">
        <f>1693*1263.6</f>
        <v>2139274.7999999998</v>
      </c>
      <c r="H2412" s="1">
        <f>390*1263.6</f>
        <v>492803.99999999994</v>
      </c>
      <c r="I2412" s="1">
        <f>571*1263.6</f>
        <v>721515.6</v>
      </c>
      <c r="J2412" s="1">
        <f>467*1263.6</f>
        <v>590101.19999999995</v>
      </c>
      <c r="K2412" s="1">
        <v>0</v>
      </c>
      <c r="L2412" s="2">
        <v>0</v>
      </c>
      <c r="M2412" s="1">
        <v>0</v>
      </c>
      <c r="N2412" s="1">
        <v>370</v>
      </c>
      <c r="O2412" s="1">
        <f>N2412*4968</f>
        <v>1838160</v>
      </c>
      <c r="P2412" s="1">
        <v>0</v>
      </c>
      <c r="Q2412" s="1">
        <f t="shared" si="1347"/>
        <v>0</v>
      </c>
      <c r="R2412" s="1">
        <v>1150</v>
      </c>
      <c r="S2412" s="1">
        <f t="shared" si="1325"/>
        <v>4313650</v>
      </c>
      <c r="T2412" s="1">
        <v>0</v>
      </c>
      <c r="U2412" s="1">
        <v>50000</v>
      </c>
      <c r="V2412" s="1">
        <v>0</v>
      </c>
      <c r="W2412" s="1">
        <v>50000</v>
      </c>
      <c r="X2412" s="1">
        <v>0</v>
      </c>
      <c r="Y2412" s="1">
        <v>0</v>
      </c>
      <c r="Z2412" s="1">
        <v>0</v>
      </c>
      <c r="AA2412" s="1">
        <v>0</v>
      </c>
      <c r="AB2412" s="1">
        <v>0</v>
      </c>
      <c r="AC2412" s="1">
        <v>0</v>
      </c>
      <c r="AD2412" s="1">
        <v>0</v>
      </c>
    </row>
    <row r="2413" spans="1:30" s="20" customFormat="1" ht="36" customHeight="1" x14ac:dyDescent="0.25">
      <c r="A2413" s="2">
        <f t="shared" si="1361"/>
        <v>2330</v>
      </c>
      <c r="B2413" s="3">
        <f t="shared" si="1295"/>
        <v>2330</v>
      </c>
      <c r="C2413" s="19" t="s">
        <v>1439</v>
      </c>
      <c r="D2413" s="4">
        <f t="shared" si="1362"/>
        <v>27531454</v>
      </c>
      <c r="E2413" s="1">
        <f t="shared" si="1331"/>
        <v>17753874</v>
      </c>
      <c r="F2413" s="1">
        <f>804*4523.28</f>
        <v>3636717.1199999996</v>
      </c>
      <c r="G2413" s="1">
        <f>1693*4523.28</f>
        <v>7657913.0399999991</v>
      </c>
      <c r="H2413" s="1">
        <f>390*4523.28</f>
        <v>1764079.2</v>
      </c>
      <c r="I2413" s="1">
        <f>571*4523.28</f>
        <v>2582792.88</v>
      </c>
      <c r="J2413" s="1">
        <f>467*4523.28</f>
        <v>2112371.7599999998</v>
      </c>
      <c r="K2413" s="1">
        <v>0</v>
      </c>
      <c r="L2413" s="2">
        <v>0</v>
      </c>
      <c r="M2413" s="1">
        <v>0</v>
      </c>
      <c r="N2413" s="1">
        <v>0</v>
      </c>
      <c r="O2413" s="1">
        <v>0</v>
      </c>
      <c r="P2413" s="1">
        <v>0</v>
      </c>
      <c r="Q2413" s="1">
        <f t="shared" si="1347"/>
        <v>0</v>
      </c>
      <c r="R2413" s="1">
        <v>2580</v>
      </c>
      <c r="S2413" s="1">
        <f t="shared" si="1325"/>
        <v>9677580</v>
      </c>
      <c r="T2413" s="1">
        <v>0</v>
      </c>
      <c r="U2413" s="1">
        <v>50000</v>
      </c>
      <c r="V2413" s="1">
        <v>0</v>
      </c>
      <c r="W2413" s="1">
        <v>50000</v>
      </c>
      <c r="X2413" s="1">
        <v>0</v>
      </c>
      <c r="Y2413" s="1">
        <v>0</v>
      </c>
      <c r="Z2413" s="1">
        <v>0</v>
      </c>
      <c r="AA2413" s="1">
        <v>0</v>
      </c>
      <c r="AB2413" s="1">
        <v>0</v>
      </c>
      <c r="AC2413" s="1">
        <v>0</v>
      </c>
      <c r="AD2413" s="1">
        <v>0</v>
      </c>
    </row>
    <row r="2414" spans="1:30" s="20" customFormat="1" ht="36" customHeight="1" x14ac:dyDescent="0.25">
      <c r="A2414" s="2">
        <f t="shared" si="1361"/>
        <v>2331</v>
      </c>
      <c r="B2414" s="3">
        <f t="shared" si="1295"/>
        <v>2331</v>
      </c>
      <c r="C2414" s="30" t="s">
        <v>2575</v>
      </c>
      <c r="D2414" s="4">
        <f t="shared" si="1362"/>
        <v>74456437.5</v>
      </c>
      <c r="E2414" s="1">
        <f t="shared" si="1331"/>
        <v>56706437.5</v>
      </c>
      <c r="F2414" s="1">
        <f>804*14447.5</f>
        <v>11615790</v>
      </c>
      <c r="G2414" s="1">
        <f>1693*14447.5</f>
        <v>24459617.5</v>
      </c>
      <c r="H2414" s="1">
        <f>390*14447.5</f>
        <v>5634525</v>
      </c>
      <c r="I2414" s="1">
        <f>571*14447.5</f>
        <v>8249522.5</v>
      </c>
      <c r="J2414" s="1">
        <f>467*14447.5</f>
        <v>6746982.5</v>
      </c>
      <c r="K2414" s="1">
        <v>0</v>
      </c>
      <c r="L2414" s="2">
        <v>5</v>
      </c>
      <c r="M2414" s="1">
        <f>L2414*3500000</f>
        <v>17500000</v>
      </c>
      <c r="N2414" s="1">
        <v>0</v>
      </c>
      <c r="O2414" s="1">
        <v>0</v>
      </c>
      <c r="P2414" s="1">
        <v>0</v>
      </c>
      <c r="Q2414" s="1">
        <f t="shared" si="1347"/>
        <v>0</v>
      </c>
      <c r="R2414" s="1">
        <v>0</v>
      </c>
      <c r="S2414" s="1">
        <f>R2414*3751</f>
        <v>0</v>
      </c>
      <c r="T2414" s="1">
        <v>0</v>
      </c>
      <c r="U2414" s="1">
        <v>200000</v>
      </c>
      <c r="V2414" s="1">
        <v>0</v>
      </c>
      <c r="W2414" s="1">
        <v>50000</v>
      </c>
      <c r="X2414" s="1">
        <v>0</v>
      </c>
      <c r="Y2414" s="1">
        <v>0</v>
      </c>
      <c r="Z2414" s="1">
        <v>0</v>
      </c>
      <c r="AA2414" s="1">
        <v>0</v>
      </c>
      <c r="AB2414" s="1">
        <v>0</v>
      </c>
      <c r="AC2414" s="1">
        <v>0</v>
      </c>
      <c r="AD2414" s="1">
        <v>0</v>
      </c>
    </row>
    <row r="2415" spans="1:30" s="20" customFormat="1" ht="36" customHeight="1" x14ac:dyDescent="0.25">
      <c r="A2415" s="2">
        <f t="shared" si="1361"/>
        <v>2332</v>
      </c>
      <c r="B2415" s="3">
        <f t="shared" ref="B2415:B2514" si="1391">A2415</f>
        <v>2332</v>
      </c>
      <c r="C2415" s="19" t="s">
        <v>1440</v>
      </c>
      <c r="D2415" s="4">
        <f t="shared" si="1362"/>
        <v>30841239.5</v>
      </c>
      <c r="E2415" s="1">
        <f t="shared" si="1331"/>
        <v>16813051.5</v>
      </c>
      <c r="F2415" s="1">
        <f>804*4283.58</f>
        <v>3443998.32</v>
      </c>
      <c r="G2415" s="1">
        <f>1693*4283.58</f>
        <v>7252100.9399999995</v>
      </c>
      <c r="H2415" s="1">
        <f>390*4283.58</f>
        <v>1670596.2</v>
      </c>
      <c r="I2415" s="1">
        <f>571*4283.58</f>
        <v>2445924.1800000002</v>
      </c>
      <c r="J2415" s="1">
        <f>467*4283.58</f>
        <v>2000431.8599999999</v>
      </c>
      <c r="K2415" s="1">
        <v>0</v>
      </c>
      <c r="L2415" s="2">
        <v>0</v>
      </c>
      <c r="M2415" s="1">
        <v>0</v>
      </c>
      <c r="N2415" s="1">
        <v>916</v>
      </c>
      <c r="O2415" s="1">
        <f t="shared" ref="O2415:O2423" si="1392">N2415*4968</f>
        <v>4550688</v>
      </c>
      <c r="P2415" s="1">
        <v>0</v>
      </c>
      <c r="Q2415" s="1">
        <f t="shared" si="1347"/>
        <v>0</v>
      </c>
      <c r="R2415" s="1">
        <v>2500</v>
      </c>
      <c r="S2415" s="1">
        <f t="shared" si="1325"/>
        <v>9377500</v>
      </c>
      <c r="T2415" s="1">
        <v>0</v>
      </c>
      <c r="U2415" s="1">
        <v>50000</v>
      </c>
      <c r="V2415" s="1">
        <v>0</v>
      </c>
      <c r="W2415" s="1">
        <v>50000</v>
      </c>
      <c r="X2415" s="1">
        <v>0</v>
      </c>
      <c r="Y2415" s="1">
        <v>0</v>
      </c>
      <c r="Z2415" s="1">
        <v>0</v>
      </c>
      <c r="AA2415" s="1">
        <v>0</v>
      </c>
      <c r="AB2415" s="1">
        <v>0</v>
      </c>
      <c r="AC2415" s="1">
        <v>0</v>
      </c>
      <c r="AD2415" s="1">
        <v>0</v>
      </c>
    </row>
    <row r="2416" spans="1:30" s="20" customFormat="1" ht="36" customHeight="1" x14ac:dyDescent="0.25">
      <c r="A2416" s="2">
        <f t="shared" si="1361"/>
        <v>2333</v>
      </c>
      <c r="B2416" s="6">
        <f>A2416</f>
        <v>2333</v>
      </c>
      <c r="C2416" s="19" t="s">
        <v>874</v>
      </c>
      <c r="D2416" s="4">
        <f t="shared" si="1362"/>
        <v>29014242.25</v>
      </c>
      <c r="E2416" s="1">
        <f>SUM(F2416:K2416)</f>
        <v>20524492.25</v>
      </c>
      <c r="F2416" s="1">
        <f>804*5229.17</f>
        <v>4204252.68</v>
      </c>
      <c r="G2416" s="1">
        <f>1693*5229.17</f>
        <v>8852984.8100000005</v>
      </c>
      <c r="H2416" s="1">
        <f>390*5229.17</f>
        <v>2039376.3</v>
      </c>
      <c r="I2416" s="1">
        <f>571*5229.17</f>
        <v>2985856.07</v>
      </c>
      <c r="J2416" s="1">
        <f>467*5229.17</f>
        <v>2442022.39</v>
      </c>
      <c r="K2416" s="1">
        <v>0</v>
      </c>
      <c r="L2416" s="2">
        <v>0</v>
      </c>
      <c r="M2416" s="1">
        <v>0</v>
      </c>
      <c r="N2416" s="1">
        <v>0</v>
      </c>
      <c r="O2416" s="1">
        <v>0</v>
      </c>
      <c r="P2416" s="1">
        <v>0</v>
      </c>
      <c r="Q2416" s="1">
        <f>P2416*1400</f>
        <v>0</v>
      </c>
      <c r="R2416" s="1">
        <v>2250</v>
      </c>
      <c r="S2416" s="1">
        <f>R2416*3751</f>
        <v>8439750</v>
      </c>
      <c r="T2416" s="1">
        <v>0</v>
      </c>
      <c r="U2416" s="1">
        <v>50000</v>
      </c>
      <c r="V2416" s="1">
        <v>0</v>
      </c>
      <c r="W2416" s="1">
        <v>0</v>
      </c>
      <c r="X2416" s="1">
        <v>0</v>
      </c>
      <c r="Y2416" s="1">
        <v>0</v>
      </c>
      <c r="Z2416" s="1">
        <v>0</v>
      </c>
      <c r="AA2416" s="1">
        <v>0</v>
      </c>
      <c r="AB2416" s="1">
        <v>0</v>
      </c>
      <c r="AC2416" s="1">
        <v>0</v>
      </c>
      <c r="AD2416" s="1">
        <v>0</v>
      </c>
    </row>
    <row r="2417" spans="1:30" s="20" customFormat="1" ht="36" customHeight="1" x14ac:dyDescent="0.25">
      <c r="A2417" s="2">
        <f t="shared" si="1361"/>
        <v>2334</v>
      </c>
      <c r="B2417" s="3">
        <f t="shared" si="1391"/>
        <v>2334</v>
      </c>
      <c r="C2417" s="19" t="s">
        <v>1441</v>
      </c>
      <c r="D2417" s="4">
        <f t="shared" si="1362"/>
        <v>31737956.250000004</v>
      </c>
      <c r="E2417" s="1">
        <f t="shared" si="1331"/>
        <v>17317296.250000004</v>
      </c>
      <c r="F2417" s="1">
        <f>804*4412.05</f>
        <v>3547288.2</v>
      </c>
      <c r="G2417" s="1">
        <f>1693*4412.05</f>
        <v>7469600.6500000004</v>
      </c>
      <c r="H2417" s="1">
        <f>390*4412.05</f>
        <v>1720699.5</v>
      </c>
      <c r="I2417" s="1">
        <f>571*4412.05</f>
        <v>2519280.5500000003</v>
      </c>
      <c r="J2417" s="1">
        <f>467*4412.05</f>
        <v>2060427.35</v>
      </c>
      <c r="K2417" s="1">
        <v>0</v>
      </c>
      <c r="L2417" s="2">
        <v>0</v>
      </c>
      <c r="M2417" s="1">
        <v>0</v>
      </c>
      <c r="N2417" s="1">
        <v>995</v>
      </c>
      <c r="O2417" s="1">
        <f t="shared" si="1392"/>
        <v>4943160</v>
      </c>
      <c r="P2417" s="1">
        <v>0</v>
      </c>
      <c r="Q2417" s="1">
        <f t="shared" si="1347"/>
        <v>0</v>
      </c>
      <c r="R2417" s="1">
        <v>2500</v>
      </c>
      <c r="S2417" s="1">
        <f t="shared" si="1325"/>
        <v>9377500</v>
      </c>
      <c r="T2417" s="1">
        <v>0</v>
      </c>
      <c r="U2417" s="1">
        <v>50000</v>
      </c>
      <c r="V2417" s="1">
        <v>0</v>
      </c>
      <c r="W2417" s="1">
        <v>50000</v>
      </c>
      <c r="X2417" s="1">
        <v>0</v>
      </c>
      <c r="Y2417" s="1">
        <v>0</v>
      </c>
      <c r="Z2417" s="1">
        <v>0</v>
      </c>
      <c r="AA2417" s="1">
        <v>0</v>
      </c>
      <c r="AB2417" s="1">
        <v>0</v>
      </c>
      <c r="AC2417" s="1">
        <v>0</v>
      </c>
      <c r="AD2417" s="1">
        <v>0</v>
      </c>
    </row>
    <row r="2418" spans="1:30" s="20" customFormat="1" ht="36" customHeight="1" x14ac:dyDescent="0.25">
      <c r="A2418" s="2">
        <f t="shared" si="1361"/>
        <v>2335</v>
      </c>
      <c r="B2418" s="3">
        <f t="shared" si="1391"/>
        <v>2335</v>
      </c>
      <c r="C2418" s="19" t="s">
        <v>1442</v>
      </c>
      <c r="D2418" s="4">
        <f t="shared" si="1362"/>
        <v>24866882</v>
      </c>
      <c r="E2418" s="1">
        <f t="shared" si="1331"/>
        <v>11230210</v>
      </c>
      <c r="F2418" s="1">
        <f>804*2861.2</f>
        <v>2300404.7999999998</v>
      </c>
      <c r="G2418" s="1">
        <f>1693*2861.2</f>
        <v>4844011.5999999996</v>
      </c>
      <c r="H2418" s="1">
        <f>390*2861.2</f>
        <v>1115868</v>
      </c>
      <c r="I2418" s="1">
        <f>571*2861.2</f>
        <v>1633745.2</v>
      </c>
      <c r="J2418" s="1">
        <f>467*2861.2</f>
        <v>1336180.3999999999</v>
      </c>
      <c r="K2418" s="1">
        <v>0</v>
      </c>
      <c r="L2418" s="2">
        <v>1</v>
      </c>
      <c r="M2418" s="1">
        <f>L2418*3500000</f>
        <v>3500000</v>
      </c>
      <c r="N2418" s="1">
        <v>329</v>
      </c>
      <c r="O2418" s="1">
        <f t="shared" si="1392"/>
        <v>1634472</v>
      </c>
      <c r="P2418" s="1">
        <v>0</v>
      </c>
      <c r="Q2418" s="1">
        <f t="shared" si="1347"/>
        <v>0</v>
      </c>
      <c r="R2418" s="1">
        <v>2200</v>
      </c>
      <c r="S2418" s="1">
        <f t="shared" si="1325"/>
        <v>8252200</v>
      </c>
      <c r="T2418" s="1">
        <v>0</v>
      </c>
      <c r="U2418" s="1">
        <v>200000</v>
      </c>
      <c r="V2418" s="1">
        <v>0</v>
      </c>
      <c r="W2418" s="1">
        <v>50000</v>
      </c>
      <c r="X2418" s="1">
        <v>0</v>
      </c>
      <c r="Y2418" s="1">
        <v>0</v>
      </c>
      <c r="Z2418" s="1">
        <v>0</v>
      </c>
      <c r="AA2418" s="1">
        <v>0</v>
      </c>
      <c r="AB2418" s="1">
        <v>0</v>
      </c>
      <c r="AC2418" s="1">
        <v>0</v>
      </c>
      <c r="AD2418" s="1">
        <v>0</v>
      </c>
    </row>
    <row r="2419" spans="1:30" s="20" customFormat="1" ht="36" customHeight="1" x14ac:dyDescent="0.25">
      <c r="A2419" s="2">
        <f t="shared" si="1361"/>
        <v>2336</v>
      </c>
      <c r="B2419" s="2">
        <f t="shared" si="1391"/>
        <v>2336</v>
      </c>
      <c r="C2419" s="19" t="s">
        <v>1443</v>
      </c>
      <c r="D2419" s="39">
        <f t="shared" si="1362"/>
        <v>19688879.5</v>
      </c>
      <c r="E2419" s="1">
        <f t="shared" si="1331"/>
        <v>9702207.5000000019</v>
      </c>
      <c r="F2419" s="1">
        <f>804*2471.9</f>
        <v>1987407.6</v>
      </c>
      <c r="G2419" s="1">
        <f>1693*2471.9</f>
        <v>4184926.7</v>
      </c>
      <c r="H2419" s="1">
        <f>390*2471.9</f>
        <v>964041</v>
      </c>
      <c r="I2419" s="1">
        <f>571*2471.9</f>
        <v>1411454.9000000001</v>
      </c>
      <c r="J2419" s="1">
        <f>467*2471.9</f>
        <v>1154377.3</v>
      </c>
      <c r="K2419" s="1">
        <v>0</v>
      </c>
      <c r="L2419" s="2">
        <v>0</v>
      </c>
      <c r="M2419" s="1">
        <v>0</v>
      </c>
      <c r="N2419" s="1">
        <v>329</v>
      </c>
      <c r="O2419" s="1">
        <f t="shared" si="1392"/>
        <v>1634472</v>
      </c>
      <c r="P2419" s="1">
        <v>0</v>
      </c>
      <c r="Q2419" s="1">
        <f t="shared" si="1347"/>
        <v>0</v>
      </c>
      <c r="R2419" s="1">
        <v>2200</v>
      </c>
      <c r="S2419" s="1">
        <f t="shared" si="1325"/>
        <v>8252200</v>
      </c>
      <c r="T2419" s="1">
        <v>0</v>
      </c>
      <c r="U2419" s="1">
        <v>50000</v>
      </c>
      <c r="V2419" s="1">
        <v>0</v>
      </c>
      <c r="W2419" s="1">
        <v>50000</v>
      </c>
      <c r="X2419" s="1">
        <v>0</v>
      </c>
      <c r="Y2419" s="1">
        <v>0</v>
      </c>
      <c r="Z2419" s="1">
        <v>0</v>
      </c>
      <c r="AA2419" s="1">
        <v>0</v>
      </c>
      <c r="AB2419" s="1">
        <v>0</v>
      </c>
      <c r="AC2419" s="1">
        <v>0</v>
      </c>
      <c r="AD2419" s="1">
        <v>0</v>
      </c>
    </row>
    <row r="2420" spans="1:30" s="20" customFormat="1" ht="36" customHeight="1" x14ac:dyDescent="0.25">
      <c r="A2420" s="2">
        <f t="shared" si="1361"/>
        <v>2337</v>
      </c>
      <c r="B2420" s="2">
        <f>A2420</f>
        <v>2337</v>
      </c>
      <c r="C2420" s="19" t="s">
        <v>881</v>
      </c>
      <c r="D2420" s="39">
        <f t="shared" si="1362"/>
        <v>17965471</v>
      </c>
      <c r="E2420" s="1">
        <f>SUM(F2420:K2420)</f>
        <v>10477238</v>
      </c>
      <c r="F2420" s="1">
        <f>804*2669.36</f>
        <v>2146165.44</v>
      </c>
      <c r="G2420" s="1">
        <f>1693*2669.36</f>
        <v>4519226.4800000004</v>
      </c>
      <c r="H2420" s="1">
        <f>390*2669.36</f>
        <v>1041050.4</v>
      </c>
      <c r="I2420" s="1">
        <f>571*2669.36</f>
        <v>1524204.56</v>
      </c>
      <c r="J2420" s="1">
        <f>467*2669.36</f>
        <v>1246591.1200000001</v>
      </c>
      <c r="K2420" s="1">
        <v>0</v>
      </c>
      <c r="L2420" s="2">
        <v>0</v>
      </c>
      <c r="M2420" s="1">
        <v>0</v>
      </c>
      <c r="N2420" s="1">
        <v>0</v>
      </c>
      <c r="O2420" s="1">
        <v>0</v>
      </c>
      <c r="P2420" s="1">
        <v>0</v>
      </c>
      <c r="Q2420" s="1">
        <f>P2420*1400</f>
        <v>0</v>
      </c>
      <c r="R2420" s="1">
        <v>1983</v>
      </c>
      <c r="S2420" s="1">
        <f>R2420*3751</f>
        <v>7438233</v>
      </c>
      <c r="T2420" s="1">
        <v>0</v>
      </c>
      <c r="U2420" s="1">
        <v>50000</v>
      </c>
      <c r="V2420" s="1">
        <v>0</v>
      </c>
      <c r="W2420" s="1">
        <v>0</v>
      </c>
      <c r="X2420" s="1">
        <v>0</v>
      </c>
      <c r="Y2420" s="1">
        <v>0</v>
      </c>
      <c r="Z2420" s="1">
        <v>0</v>
      </c>
      <c r="AA2420" s="1">
        <v>0</v>
      </c>
      <c r="AB2420" s="1">
        <v>0</v>
      </c>
      <c r="AC2420" s="1">
        <v>0</v>
      </c>
      <c r="AD2420" s="1">
        <v>0</v>
      </c>
    </row>
    <row r="2421" spans="1:30" s="20" customFormat="1" ht="36" customHeight="1" x14ac:dyDescent="0.25">
      <c r="A2421" s="2">
        <f t="shared" si="1361"/>
        <v>2338</v>
      </c>
      <c r="B2421" s="6">
        <f>A2421</f>
        <v>2338</v>
      </c>
      <c r="C2421" s="19" t="s">
        <v>888</v>
      </c>
      <c r="D2421" s="4">
        <f t="shared" si="1362"/>
        <v>4531380</v>
      </c>
      <c r="E2421" s="1">
        <f>SUM(F2421:K2421)</f>
        <v>0</v>
      </c>
      <c r="F2421" s="1">
        <v>0</v>
      </c>
      <c r="G2421" s="1">
        <v>0</v>
      </c>
      <c r="H2421" s="1">
        <v>0</v>
      </c>
      <c r="I2421" s="1">
        <v>0</v>
      </c>
      <c r="J2421" s="1">
        <v>0</v>
      </c>
      <c r="K2421" s="1">
        <v>0</v>
      </c>
      <c r="L2421" s="2">
        <v>0</v>
      </c>
      <c r="M2421" s="1">
        <v>0</v>
      </c>
      <c r="N2421" s="1">
        <v>595</v>
      </c>
      <c r="O2421" s="1">
        <f>N2421*4968</f>
        <v>2955960</v>
      </c>
      <c r="P2421" s="1">
        <v>0</v>
      </c>
      <c r="Q2421" s="1">
        <f>P2421*1400</f>
        <v>0</v>
      </c>
      <c r="R2421" s="1">
        <v>420</v>
      </c>
      <c r="S2421" s="1">
        <f>R2421*3751</f>
        <v>1575420</v>
      </c>
      <c r="T2421" s="1">
        <v>0</v>
      </c>
      <c r="U2421" s="1">
        <v>0</v>
      </c>
      <c r="V2421" s="1">
        <v>0</v>
      </c>
      <c r="W2421" s="1">
        <v>0</v>
      </c>
      <c r="X2421" s="1">
        <v>0</v>
      </c>
      <c r="Y2421" s="1">
        <v>0</v>
      </c>
      <c r="Z2421" s="1">
        <v>0</v>
      </c>
      <c r="AA2421" s="1">
        <v>0</v>
      </c>
      <c r="AB2421" s="1">
        <v>0</v>
      </c>
      <c r="AC2421" s="1">
        <v>0</v>
      </c>
      <c r="AD2421" s="1">
        <v>0</v>
      </c>
    </row>
    <row r="2422" spans="1:30" s="20" customFormat="1" ht="36" customHeight="1" x14ac:dyDescent="0.25">
      <c r="A2422" s="2">
        <f t="shared" si="1361"/>
        <v>2339</v>
      </c>
      <c r="B2422" s="3">
        <f t="shared" si="1391"/>
        <v>2339</v>
      </c>
      <c r="C2422" s="19" t="s">
        <v>1444</v>
      </c>
      <c r="D2422" s="4">
        <f t="shared" si="1362"/>
        <v>9249259</v>
      </c>
      <c r="E2422" s="1">
        <f t="shared" si="1331"/>
        <v>3553694.9999999995</v>
      </c>
      <c r="F2422" s="1">
        <f>804*905.4</f>
        <v>727941.6</v>
      </c>
      <c r="G2422" s="1">
        <f>1693*905.4</f>
        <v>1532842.2</v>
      </c>
      <c r="H2422" s="1">
        <f>390*905.4</f>
        <v>353106</v>
      </c>
      <c r="I2422" s="1">
        <f>571*905.4</f>
        <v>516983.39999999997</v>
      </c>
      <c r="J2422" s="1">
        <f>467*905.4</f>
        <v>422821.8</v>
      </c>
      <c r="K2422" s="1">
        <v>0</v>
      </c>
      <c r="L2422" s="2">
        <v>0</v>
      </c>
      <c r="M2422" s="1">
        <v>0</v>
      </c>
      <c r="N2422" s="1">
        <v>628</v>
      </c>
      <c r="O2422" s="1">
        <f t="shared" si="1392"/>
        <v>3119904</v>
      </c>
      <c r="P2422" s="1">
        <v>0</v>
      </c>
      <c r="Q2422" s="1">
        <f t="shared" si="1347"/>
        <v>0</v>
      </c>
      <c r="R2422" s="1">
        <v>660</v>
      </c>
      <c r="S2422" s="1">
        <f t="shared" si="1325"/>
        <v>2475660</v>
      </c>
      <c r="T2422" s="1">
        <v>0</v>
      </c>
      <c r="U2422" s="1">
        <v>50000</v>
      </c>
      <c r="V2422" s="1">
        <v>0</v>
      </c>
      <c r="W2422" s="1">
        <v>50000</v>
      </c>
      <c r="X2422" s="1">
        <v>0</v>
      </c>
      <c r="Y2422" s="1">
        <v>0</v>
      </c>
      <c r="Z2422" s="1">
        <v>0</v>
      </c>
      <c r="AA2422" s="1">
        <v>0</v>
      </c>
      <c r="AB2422" s="1">
        <v>0</v>
      </c>
      <c r="AC2422" s="1">
        <v>0</v>
      </c>
      <c r="AD2422" s="1">
        <v>0</v>
      </c>
    </row>
    <row r="2423" spans="1:30" s="20" customFormat="1" ht="36" customHeight="1" x14ac:dyDescent="0.25">
      <c r="A2423" s="2">
        <f t="shared" si="1361"/>
        <v>2340</v>
      </c>
      <c r="B2423" s="3">
        <f t="shared" si="1391"/>
        <v>2340</v>
      </c>
      <c r="C2423" s="19" t="s">
        <v>1445</v>
      </c>
      <c r="D2423" s="4">
        <f t="shared" si="1362"/>
        <v>12074081.5</v>
      </c>
      <c r="E2423" s="1">
        <f t="shared" si="1331"/>
        <v>6378517.4999999991</v>
      </c>
      <c r="F2423" s="1">
        <f>804*1625.1</f>
        <v>1306580.3999999999</v>
      </c>
      <c r="G2423" s="1">
        <f>1693*1625.1</f>
        <v>2751294.3</v>
      </c>
      <c r="H2423" s="1">
        <f>390*1625.1</f>
        <v>633789</v>
      </c>
      <c r="I2423" s="1">
        <f>571*1625.1</f>
        <v>927932.1</v>
      </c>
      <c r="J2423" s="1">
        <f>467*1625.1</f>
        <v>758921.7</v>
      </c>
      <c r="K2423" s="1">
        <v>0</v>
      </c>
      <c r="L2423" s="2">
        <v>0</v>
      </c>
      <c r="M2423" s="1">
        <v>0</v>
      </c>
      <c r="N2423" s="1">
        <v>628</v>
      </c>
      <c r="O2423" s="1">
        <f t="shared" si="1392"/>
        <v>3119904</v>
      </c>
      <c r="P2423" s="1">
        <v>0</v>
      </c>
      <c r="Q2423" s="1">
        <f t="shared" si="1347"/>
        <v>0</v>
      </c>
      <c r="R2423" s="1">
        <v>660</v>
      </c>
      <c r="S2423" s="1">
        <f t="shared" si="1325"/>
        <v>2475660</v>
      </c>
      <c r="T2423" s="1">
        <v>0</v>
      </c>
      <c r="U2423" s="1">
        <v>50000</v>
      </c>
      <c r="V2423" s="1">
        <v>0</v>
      </c>
      <c r="W2423" s="1">
        <v>50000</v>
      </c>
      <c r="X2423" s="1">
        <v>0</v>
      </c>
      <c r="Y2423" s="1">
        <v>0</v>
      </c>
      <c r="Z2423" s="1">
        <v>0</v>
      </c>
      <c r="AA2423" s="1">
        <v>0</v>
      </c>
      <c r="AB2423" s="1">
        <v>0</v>
      </c>
      <c r="AC2423" s="1">
        <v>0</v>
      </c>
      <c r="AD2423" s="1">
        <v>0</v>
      </c>
    </row>
    <row r="2424" spans="1:30" s="20" customFormat="1" ht="36" customHeight="1" x14ac:dyDescent="0.25">
      <c r="A2424" s="2">
        <f t="shared" si="1361"/>
        <v>2341</v>
      </c>
      <c r="B2424" s="3">
        <f t="shared" si="1391"/>
        <v>2341</v>
      </c>
      <c r="C2424" s="19" t="s">
        <v>1446</v>
      </c>
      <c r="D2424" s="4">
        <f t="shared" si="1362"/>
        <v>6183520</v>
      </c>
      <c r="E2424" s="1">
        <f t="shared" si="1331"/>
        <v>3607860.0000000005</v>
      </c>
      <c r="F2424" s="1">
        <f>804*919.2</f>
        <v>739036.8</v>
      </c>
      <c r="G2424" s="1">
        <f>1693*919.2</f>
        <v>1556205.6</v>
      </c>
      <c r="H2424" s="1">
        <f>390*919.2</f>
        <v>358488</v>
      </c>
      <c r="I2424" s="1">
        <f>571*919.2</f>
        <v>524863.20000000007</v>
      </c>
      <c r="J2424" s="1">
        <f>467*919.2</f>
        <v>429266.4</v>
      </c>
      <c r="K2424" s="1">
        <v>0</v>
      </c>
      <c r="L2424" s="2">
        <v>0</v>
      </c>
      <c r="M2424" s="1">
        <v>0</v>
      </c>
      <c r="N2424" s="1">
        <v>0</v>
      </c>
      <c r="O2424" s="1">
        <v>0</v>
      </c>
      <c r="P2424" s="1">
        <v>0</v>
      </c>
      <c r="Q2424" s="1">
        <f t="shared" si="1347"/>
        <v>0</v>
      </c>
      <c r="R2424" s="1">
        <v>660</v>
      </c>
      <c r="S2424" s="1">
        <f t="shared" si="1325"/>
        <v>2475660</v>
      </c>
      <c r="T2424" s="1">
        <v>0</v>
      </c>
      <c r="U2424" s="1">
        <v>50000</v>
      </c>
      <c r="V2424" s="1">
        <v>0</v>
      </c>
      <c r="W2424" s="1">
        <v>50000</v>
      </c>
      <c r="X2424" s="1">
        <v>0</v>
      </c>
      <c r="Y2424" s="1">
        <v>0</v>
      </c>
      <c r="Z2424" s="1">
        <v>0</v>
      </c>
      <c r="AA2424" s="1">
        <v>0</v>
      </c>
      <c r="AB2424" s="1">
        <v>0</v>
      </c>
      <c r="AC2424" s="1">
        <v>0</v>
      </c>
      <c r="AD2424" s="1">
        <v>0</v>
      </c>
    </row>
    <row r="2425" spans="1:30" s="20" customFormat="1" ht="36" customHeight="1" x14ac:dyDescent="0.25">
      <c r="A2425" s="2">
        <f t="shared" si="1361"/>
        <v>2342</v>
      </c>
      <c r="B2425" s="6">
        <f>A2425</f>
        <v>2342</v>
      </c>
      <c r="C2425" s="19" t="s">
        <v>360</v>
      </c>
      <c r="D2425" s="4">
        <f t="shared" si="1362"/>
        <v>3650000</v>
      </c>
      <c r="E2425" s="1">
        <f>SUM(F2425:K2425)</f>
        <v>0</v>
      </c>
      <c r="F2425" s="1">
        <v>0</v>
      </c>
      <c r="G2425" s="1">
        <v>0</v>
      </c>
      <c r="H2425" s="1">
        <v>0</v>
      </c>
      <c r="I2425" s="1">
        <v>0</v>
      </c>
      <c r="J2425" s="1">
        <v>0</v>
      </c>
      <c r="K2425" s="1">
        <v>0</v>
      </c>
      <c r="L2425" s="2">
        <v>1</v>
      </c>
      <c r="M2425" s="1">
        <f>L2425*3500000</f>
        <v>3500000</v>
      </c>
      <c r="N2425" s="1">
        <v>0</v>
      </c>
      <c r="O2425" s="1">
        <v>0</v>
      </c>
      <c r="P2425" s="1">
        <v>0</v>
      </c>
      <c r="Q2425" s="1">
        <f>P2425*1400</f>
        <v>0</v>
      </c>
      <c r="R2425" s="1">
        <v>0</v>
      </c>
      <c r="S2425" s="1">
        <f>R2425*3751</f>
        <v>0</v>
      </c>
      <c r="T2425" s="1">
        <v>0</v>
      </c>
      <c r="U2425" s="1">
        <v>150000</v>
      </c>
      <c r="V2425" s="1">
        <v>0</v>
      </c>
      <c r="W2425" s="1">
        <v>0</v>
      </c>
      <c r="X2425" s="1">
        <v>0</v>
      </c>
      <c r="Y2425" s="1">
        <v>0</v>
      </c>
      <c r="Z2425" s="1">
        <v>0</v>
      </c>
      <c r="AA2425" s="1">
        <v>0</v>
      </c>
      <c r="AB2425" s="1">
        <v>0</v>
      </c>
      <c r="AC2425" s="1">
        <v>0</v>
      </c>
      <c r="AD2425" s="1">
        <v>0</v>
      </c>
    </row>
    <row r="2426" spans="1:30" s="20" customFormat="1" ht="36" customHeight="1" x14ac:dyDescent="0.25">
      <c r="A2426" s="2">
        <f t="shared" si="1361"/>
        <v>2343</v>
      </c>
      <c r="B2426" s="6">
        <f>A2426</f>
        <v>2343</v>
      </c>
      <c r="C2426" s="19" t="s">
        <v>892</v>
      </c>
      <c r="D2426" s="4">
        <f t="shared" si="1362"/>
        <v>4876300</v>
      </c>
      <c r="E2426" s="1">
        <f>SUM(F2426:K2426)</f>
        <v>0</v>
      </c>
      <c r="F2426" s="1">
        <v>0</v>
      </c>
      <c r="G2426" s="1">
        <v>0</v>
      </c>
      <c r="H2426" s="1">
        <v>0</v>
      </c>
      <c r="I2426" s="1">
        <v>0</v>
      </c>
      <c r="J2426" s="1">
        <v>0</v>
      </c>
      <c r="K2426" s="1">
        <v>0</v>
      </c>
      <c r="L2426" s="2">
        <v>0</v>
      </c>
      <c r="M2426" s="1">
        <v>0</v>
      </c>
      <c r="N2426" s="1">
        <v>0</v>
      </c>
      <c r="O2426" s="1">
        <v>0</v>
      </c>
      <c r="P2426" s="1">
        <v>0</v>
      </c>
      <c r="Q2426" s="1">
        <f>P2426*1400</f>
        <v>0</v>
      </c>
      <c r="R2426" s="1">
        <v>1300</v>
      </c>
      <c r="S2426" s="1">
        <f>R2426*3751</f>
        <v>4876300</v>
      </c>
      <c r="T2426" s="1">
        <v>0</v>
      </c>
      <c r="U2426" s="1">
        <v>0</v>
      </c>
      <c r="V2426" s="1">
        <v>0</v>
      </c>
      <c r="W2426" s="1">
        <v>0</v>
      </c>
      <c r="X2426" s="1">
        <v>0</v>
      </c>
      <c r="Y2426" s="1">
        <v>0</v>
      </c>
      <c r="Z2426" s="1">
        <v>0</v>
      </c>
      <c r="AA2426" s="1">
        <v>0</v>
      </c>
      <c r="AB2426" s="1">
        <v>0</v>
      </c>
      <c r="AC2426" s="1">
        <v>0</v>
      </c>
      <c r="AD2426" s="1">
        <v>0</v>
      </c>
    </row>
    <row r="2427" spans="1:30" s="20" customFormat="1" ht="36" customHeight="1" x14ac:dyDescent="0.25">
      <c r="A2427" s="2">
        <f t="shared" si="1361"/>
        <v>2344</v>
      </c>
      <c r="B2427" s="6">
        <f>A2427</f>
        <v>2344</v>
      </c>
      <c r="C2427" s="19" t="s">
        <v>899</v>
      </c>
      <c r="D2427" s="4">
        <f t="shared" si="1362"/>
        <v>2484000</v>
      </c>
      <c r="E2427" s="1">
        <f>SUM(F2427:K2427)</f>
        <v>0</v>
      </c>
      <c r="F2427" s="1">
        <v>0</v>
      </c>
      <c r="G2427" s="1">
        <v>0</v>
      </c>
      <c r="H2427" s="1">
        <v>0</v>
      </c>
      <c r="I2427" s="1">
        <v>0</v>
      </c>
      <c r="J2427" s="1">
        <v>0</v>
      </c>
      <c r="K2427" s="1">
        <v>0</v>
      </c>
      <c r="L2427" s="2">
        <v>0</v>
      </c>
      <c r="M2427" s="1">
        <v>0</v>
      </c>
      <c r="N2427" s="1">
        <v>500</v>
      </c>
      <c r="O2427" s="1">
        <f>N2427*4968</f>
        <v>2484000</v>
      </c>
      <c r="P2427" s="1">
        <v>0</v>
      </c>
      <c r="Q2427" s="1">
        <f>P2427*1400</f>
        <v>0</v>
      </c>
      <c r="R2427" s="1">
        <v>0</v>
      </c>
      <c r="S2427" s="1">
        <f>R2427*3751</f>
        <v>0</v>
      </c>
      <c r="T2427" s="1">
        <v>0</v>
      </c>
      <c r="U2427" s="1">
        <v>0</v>
      </c>
      <c r="V2427" s="1">
        <v>0</v>
      </c>
      <c r="W2427" s="1">
        <v>0</v>
      </c>
      <c r="X2427" s="1">
        <v>0</v>
      </c>
      <c r="Y2427" s="1">
        <v>0</v>
      </c>
      <c r="Z2427" s="1">
        <v>0</v>
      </c>
      <c r="AA2427" s="1">
        <v>0</v>
      </c>
      <c r="AB2427" s="1">
        <v>0</v>
      </c>
      <c r="AC2427" s="1">
        <v>0</v>
      </c>
      <c r="AD2427" s="1">
        <v>0</v>
      </c>
    </row>
    <row r="2428" spans="1:30" s="20" customFormat="1" ht="36" customHeight="1" x14ac:dyDescent="0.25">
      <c r="A2428" s="2">
        <f t="shared" si="1361"/>
        <v>2345</v>
      </c>
      <c r="B2428" s="6">
        <f>A2428</f>
        <v>2345</v>
      </c>
      <c r="C2428" s="19" t="s">
        <v>900</v>
      </c>
      <c r="D2428" s="4">
        <f t="shared" si="1362"/>
        <v>7126900</v>
      </c>
      <c r="E2428" s="1">
        <f>SUM(F2428:K2428)</f>
        <v>0</v>
      </c>
      <c r="F2428" s="1">
        <v>0</v>
      </c>
      <c r="G2428" s="1">
        <v>0</v>
      </c>
      <c r="H2428" s="1">
        <v>0</v>
      </c>
      <c r="I2428" s="1">
        <v>0</v>
      </c>
      <c r="J2428" s="1">
        <v>0</v>
      </c>
      <c r="K2428" s="1">
        <v>0</v>
      </c>
      <c r="L2428" s="2">
        <v>0</v>
      </c>
      <c r="M2428" s="1">
        <v>0</v>
      </c>
      <c r="N2428" s="1">
        <v>0</v>
      </c>
      <c r="O2428" s="1">
        <v>0</v>
      </c>
      <c r="P2428" s="1">
        <v>0</v>
      </c>
      <c r="Q2428" s="1">
        <f>P2428*1400</f>
        <v>0</v>
      </c>
      <c r="R2428" s="1">
        <v>1900</v>
      </c>
      <c r="S2428" s="1">
        <f>R2428*3751</f>
        <v>7126900</v>
      </c>
      <c r="T2428" s="1">
        <v>0</v>
      </c>
      <c r="U2428" s="1">
        <v>0</v>
      </c>
      <c r="V2428" s="1">
        <v>0</v>
      </c>
      <c r="W2428" s="1">
        <v>0</v>
      </c>
      <c r="X2428" s="1">
        <v>0</v>
      </c>
      <c r="Y2428" s="1">
        <v>0</v>
      </c>
      <c r="Z2428" s="1">
        <v>0</v>
      </c>
      <c r="AA2428" s="1">
        <v>0</v>
      </c>
      <c r="AB2428" s="1">
        <v>0</v>
      </c>
      <c r="AC2428" s="1">
        <v>0</v>
      </c>
      <c r="AD2428" s="1">
        <v>0</v>
      </c>
    </row>
    <row r="2429" spans="1:30" s="20" customFormat="1" ht="36" customHeight="1" x14ac:dyDescent="0.25">
      <c r="A2429" s="2">
        <f t="shared" si="1361"/>
        <v>2346</v>
      </c>
      <c r="B2429" s="6">
        <f>A2429</f>
        <v>2346</v>
      </c>
      <c r="C2429" s="19" t="s">
        <v>901</v>
      </c>
      <c r="D2429" s="4">
        <f t="shared" si="1362"/>
        <v>8612677.75</v>
      </c>
      <c r="E2429" s="1">
        <f>SUM(F2429:K2429)</f>
        <v>6297073.7499999991</v>
      </c>
      <c r="F2429" s="1">
        <f>804*1604.35</f>
        <v>1289897.3999999999</v>
      </c>
      <c r="G2429" s="1">
        <f>1693*1604.35</f>
        <v>2716164.55</v>
      </c>
      <c r="H2429" s="1">
        <f>390*1604.35</f>
        <v>625696.5</v>
      </c>
      <c r="I2429" s="1">
        <f>571*1604.35</f>
        <v>916083.85</v>
      </c>
      <c r="J2429" s="1">
        <f>467*1604.35</f>
        <v>749231.45</v>
      </c>
      <c r="K2429" s="1">
        <v>0</v>
      </c>
      <c r="L2429" s="2">
        <v>0</v>
      </c>
      <c r="M2429" s="1">
        <v>0</v>
      </c>
      <c r="N2429" s="1">
        <v>0</v>
      </c>
      <c r="O2429" s="1">
        <v>0</v>
      </c>
      <c r="P2429" s="1">
        <v>0</v>
      </c>
      <c r="Q2429" s="1">
        <f>P2429*1400</f>
        <v>0</v>
      </c>
      <c r="R2429" s="1">
        <v>604</v>
      </c>
      <c r="S2429" s="1">
        <f>R2429*3751</f>
        <v>2265604</v>
      </c>
      <c r="T2429" s="1">
        <v>0</v>
      </c>
      <c r="U2429" s="1">
        <v>50000</v>
      </c>
      <c r="V2429" s="1">
        <v>0</v>
      </c>
      <c r="W2429" s="1">
        <v>0</v>
      </c>
      <c r="X2429" s="1">
        <v>0</v>
      </c>
      <c r="Y2429" s="1">
        <v>0</v>
      </c>
      <c r="Z2429" s="1">
        <v>0</v>
      </c>
      <c r="AA2429" s="1">
        <v>0</v>
      </c>
      <c r="AB2429" s="1">
        <v>0</v>
      </c>
      <c r="AC2429" s="1">
        <v>0</v>
      </c>
      <c r="AD2429" s="1">
        <v>0</v>
      </c>
    </row>
    <row r="2430" spans="1:30" s="20" customFormat="1" ht="36" customHeight="1" x14ac:dyDescent="0.25">
      <c r="A2430" s="2">
        <f t="shared" si="1361"/>
        <v>2347</v>
      </c>
      <c r="B2430" s="3">
        <f t="shared" si="1391"/>
        <v>2347</v>
      </c>
      <c r="C2430" s="19" t="s">
        <v>1447</v>
      </c>
      <c r="D2430" s="4">
        <f t="shared" si="1362"/>
        <v>39178769.5</v>
      </c>
      <c r="E2430" s="1">
        <f t="shared" si="1331"/>
        <v>23466397.499999996</v>
      </c>
      <c r="F2430" s="1">
        <f>804*5978.7</f>
        <v>4806874.8</v>
      </c>
      <c r="G2430" s="1">
        <f>1693*5978.7</f>
        <v>10121939.1</v>
      </c>
      <c r="H2430" s="1">
        <f>390*5978.7</f>
        <v>2331693</v>
      </c>
      <c r="I2430" s="1">
        <f>571*5978.7</f>
        <v>3413837.6999999997</v>
      </c>
      <c r="J2430" s="1">
        <f>467*5978.7</f>
        <v>2792052.9</v>
      </c>
      <c r="K2430" s="1">
        <v>0</v>
      </c>
      <c r="L2430" s="2">
        <v>0</v>
      </c>
      <c r="M2430" s="1">
        <v>0</v>
      </c>
      <c r="N2430" s="1">
        <v>1104</v>
      </c>
      <c r="O2430" s="1">
        <f t="shared" ref="O2430:O2437" si="1393">N2430*4968</f>
        <v>5484672</v>
      </c>
      <c r="P2430" s="1">
        <v>0</v>
      </c>
      <c r="Q2430" s="1">
        <f t="shared" si="1347"/>
        <v>0</v>
      </c>
      <c r="R2430" s="1">
        <v>2700</v>
      </c>
      <c r="S2430" s="1">
        <f t="shared" si="1325"/>
        <v>10127700</v>
      </c>
      <c r="T2430" s="1">
        <v>0</v>
      </c>
      <c r="U2430" s="1">
        <v>50000</v>
      </c>
      <c r="V2430" s="1">
        <v>0</v>
      </c>
      <c r="W2430" s="1">
        <v>50000</v>
      </c>
      <c r="X2430" s="1">
        <v>0</v>
      </c>
      <c r="Y2430" s="1">
        <v>0</v>
      </c>
      <c r="Z2430" s="1">
        <v>0</v>
      </c>
      <c r="AA2430" s="1">
        <v>0</v>
      </c>
      <c r="AB2430" s="1">
        <v>0</v>
      </c>
      <c r="AC2430" s="1">
        <v>0</v>
      </c>
      <c r="AD2430" s="1">
        <v>0</v>
      </c>
    </row>
    <row r="2431" spans="1:30" s="20" customFormat="1" ht="36" customHeight="1" x14ac:dyDescent="0.25">
      <c r="A2431" s="2">
        <f t="shared" si="1361"/>
        <v>2348</v>
      </c>
      <c r="B2431" s="3">
        <f t="shared" si="1391"/>
        <v>2348</v>
      </c>
      <c r="C2431" s="19" t="s">
        <v>1448</v>
      </c>
      <c r="D2431" s="4">
        <f t="shared" si="1362"/>
        <v>39611856.25</v>
      </c>
      <c r="E2431" s="1">
        <f t="shared" si="1331"/>
        <v>23353004.25</v>
      </c>
      <c r="F2431" s="1">
        <f>804*5949.81</f>
        <v>4783647.24</v>
      </c>
      <c r="G2431" s="1">
        <f>1693*5949.81</f>
        <v>10073028.33</v>
      </c>
      <c r="H2431" s="1">
        <f>390*5949.81</f>
        <v>2320425.9000000004</v>
      </c>
      <c r="I2431" s="1">
        <f>571*5949.81</f>
        <v>3397341.5100000002</v>
      </c>
      <c r="J2431" s="1">
        <f>467*5949.81</f>
        <v>2778561.27</v>
      </c>
      <c r="K2431" s="1">
        <v>0</v>
      </c>
      <c r="L2431" s="2">
        <v>0</v>
      </c>
      <c r="M2431" s="1">
        <v>0</v>
      </c>
      <c r="N2431" s="1">
        <v>1214</v>
      </c>
      <c r="O2431" s="1">
        <f t="shared" si="1393"/>
        <v>6031152</v>
      </c>
      <c r="P2431" s="1">
        <v>0</v>
      </c>
      <c r="Q2431" s="1">
        <f t="shared" si="1347"/>
        <v>0</v>
      </c>
      <c r="R2431" s="1">
        <v>2700</v>
      </c>
      <c r="S2431" s="1">
        <f t="shared" si="1325"/>
        <v>10127700</v>
      </c>
      <c r="T2431" s="1">
        <v>0</v>
      </c>
      <c r="U2431" s="1">
        <v>50000</v>
      </c>
      <c r="V2431" s="1">
        <v>0</v>
      </c>
      <c r="W2431" s="1">
        <v>50000</v>
      </c>
      <c r="X2431" s="1">
        <v>0</v>
      </c>
      <c r="Y2431" s="1">
        <v>0</v>
      </c>
      <c r="Z2431" s="1">
        <v>0</v>
      </c>
      <c r="AA2431" s="1">
        <v>0</v>
      </c>
      <c r="AB2431" s="1">
        <v>0</v>
      </c>
      <c r="AC2431" s="1">
        <v>0</v>
      </c>
      <c r="AD2431" s="1">
        <v>0</v>
      </c>
    </row>
    <row r="2432" spans="1:30" s="20" customFormat="1" ht="36" customHeight="1" x14ac:dyDescent="0.25">
      <c r="A2432" s="2">
        <f t="shared" si="1361"/>
        <v>2349</v>
      </c>
      <c r="B2432" s="3">
        <f t="shared" si="1391"/>
        <v>2349</v>
      </c>
      <c r="C2432" s="19" t="s">
        <v>1449</v>
      </c>
      <c r="D2432" s="4">
        <f t="shared" si="1362"/>
        <v>47929952</v>
      </c>
      <c r="E2432" s="1">
        <f t="shared" si="1331"/>
        <v>31263724</v>
      </c>
      <c r="F2432" s="1">
        <f>804*7965.28</f>
        <v>6404085.1200000001</v>
      </c>
      <c r="G2432" s="1">
        <f>1693*7965.28</f>
        <v>13485219.039999999</v>
      </c>
      <c r="H2432" s="1">
        <f>390*7965.28</f>
        <v>3106459.1999999997</v>
      </c>
      <c r="I2432" s="1">
        <f>571*7965.28</f>
        <v>4548174.88</v>
      </c>
      <c r="J2432" s="1">
        <f>467*7965.28</f>
        <v>3719785.76</v>
      </c>
      <c r="K2432" s="1">
        <v>0</v>
      </c>
      <c r="L2432" s="2">
        <v>0</v>
      </c>
      <c r="M2432" s="1">
        <v>0</v>
      </c>
      <c r="N2432" s="1">
        <v>1296</v>
      </c>
      <c r="O2432" s="1">
        <f t="shared" si="1393"/>
        <v>6438528</v>
      </c>
      <c r="P2432" s="1">
        <v>0</v>
      </c>
      <c r="Q2432" s="1">
        <f t="shared" si="1347"/>
        <v>0</v>
      </c>
      <c r="R2432" s="1">
        <v>2700</v>
      </c>
      <c r="S2432" s="1">
        <f t="shared" si="1325"/>
        <v>10127700</v>
      </c>
      <c r="T2432" s="1">
        <v>0</v>
      </c>
      <c r="U2432" s="1">
        <v>50000</v>
      </c>
      <c r="V2432" s="1">
        <v>0</v>
      </c>
      <c r="W2432" s="1">
        <v>50000</v>
      </c>
      <c r="X2432" s="1">
        <v>0</v>
      </c>
      <c r="Y2432" s="1">
        <v>0</v>
      </c>
      <c r="Z2432" s="1">
        <v>0</v>
      </c>
      <c r="AA2432" s="1">
        <v>0</v>
      </c>
      <c r="AB2432" s="1">
        <v>0</v>
      </c>
      <c r="AC2432" s="1">
        <v>0</v>
      </c>
      <c r="AD2432" s="1">
        <v>0</v>
      </c>
    </row>
    <row r="2433" spans="1:30" s="20" customFormat="1" ht="36" customHeight="1" x14ac:dyDescent="0.25">
      <c r="A2433" s="2">
        <f t="shared" si="1361"/>
        <v>2350</v>
      </c>
      <c r="B2433" s="3">
        <f t="shared" si="1391"/>
        <v>2350</v>
      </c>
      <c r="C2433" s="19" t="s">
        <v>1450</v>
      </c>
      <c r="D2433" s="4">
        <f t="shared" si="1362"/>
        <v>31924983.5</v>
      </c>
      <c r="E2433" s="1">
        <f t="shared" si="1331"/>
        <v>16540499.500000002</v>
      </c>
      <c r="F2433" s="1">
        <f>804*4214.14</f>
        <v>3388168.56</v>
      </c>
      <c r="G2433" s="1">
        <f>1693*4214.14</f>
        <v>7134539.0200000005</v>
      </c>
      <c r="H2433" s="1">
        <f>390*4214.14</f>
        <v>1643514.6</v>
      </c>
      <c r="I2433" s="1">
        <f>571*4214.14</f>
        <v>2406273.9400000004</v>
      </c>
      <c r="J2433" s="1">
        <f>467*4214.14</f>
        <v>1968003.3800000001</v>
      </c>
      <c r="K2433" s="1">
        <v>0</v>
      </c>
      <c r="L2433" s="2">
        <v>0</v>
      </c>
      <c r="M2433" s="1">
        <v>0</v>
      </c>
      <c r="N2433" s="1">
        <v>1038</v>
      </c>
      <c r="O2433" s="1">
        <f t="shared" si="1393"/>
        <v>5156784</v>
      </c>
      <c r="P2433" s="1">
        <v>0</v>
      </c>
      <c r="Q2433" s="1">
        <f t="shared" si="1347"/>
        <v>0</v>
      </c>
      <c r="R2433" s="1">
        <v>2700</v>
      </c>
      <c r="S2433" s="1">
        <f t="shared" si="1325"/>
        <v>10127700</v>
      </c>
      <c r="T2433" s="1">
        <v>0</v>
      </c>
      <c r="U2433" s="1">
        <v>50000</v>
      </c>
      <c r="V2433" s="1">
        <v>0</v>
      </c>
      <c r="W2433" s="1">
        <v>50000</v>
      </c>
      <c r="X2433" s="1">
        <v>0</v>
      </c>
      <c r="Y2433" s="1">
        <v>0</v>
      </c>
      <c r="Z2433" s="1">
        <v>0</v>
      </c>
      <c r="AA2433" s="1">
        <v>0</v>
      </c>
      <c r="AB2433" s="1">
        <v>0</v>
      </c>
      <c r="AC2433" s="1">
        <v>0</v>
      </c>
      <c r="AD2433" s="1">
        <v>0</v>
      </c>
    </row>
    <row r="2434" spans="1:30" s="20" customFormat="1" ht="36" customHeight="1" x14ac:dyDescent="0.25">
      <c r="A2434" s="2">
        <f t="shared" si="1361"/>
        <v>2351</v>
      </c>
      <c r="B2434" s="6">
        <f t="shared" ref="B2434" si="1394">A2434</f>
        <v>2351</v>
      </c>
      <c r="C2434" s="19" t="s">
        <v>1941</v>
      </c>
      <c r="D2434" s="4">
        <f t="shared" si="1362"/>
        <v>3700000</v>
      </c>
      <c r="E2434" s="1">
        <f t="shared" ref="E2434" si="1395">SUM(F2434:K2434)</f>
        <v>0</v>
      </c>
      <c r="F2434" s="1">
        <v>0</v>
      </c>
      <c r="G2434" s="1">
        <v>0</v>
      </c>
      <c r="H2434" s="1">
        <v>0</v>
      </c>
      <c r="I2434" s="1">
        <v>0</v>
      </c>
      <c r="J2434" s="1">
        <v>0</v>
      </c>
      <c r="K2434" s="1">
        <v>0</v>
      </c>
      <c r="L2434" s="2">
        <v>1</v>
      </c>
      <c r="M2434" s="1">
        <f>L2434*3500000</f>
        <v>3500000</v>
      </c>
      <c r="N2434" s="1">
        <v>0</v>
      </c>
      <c r="O2434" s="1">
        <v>0</v>
      </c>
      <c r="P2434" s="1">
        <v>0</v>
      </c>
      <c r="Q2434" s="1">
        <f t="shared" ref="Q2434" si="1396">P2434*1400</f>
        <v>0</v>
      </c>
      <c r="R2434" s="1">
        <v>0</v>
      </c>
      <c r="S2434" s="1">
        <f t="shared" ref="S2434" si="1397">R2434*3751</f>
        <v>0</v>
      </c>
      <c r="T2434" s="1">
        <v>0</v>
      </c>
      <c r="U2434" s="1">
        <v>200000</v>
      </c>
      <c r="V2434" s="1">
        <v>0</v>
      </c>
      <c r="W2434" s="1">
        <v>0</v>
      </c>
      <c r="X2434" s="1">
        <v>0</v>
      </c>
      <c r="Y2434" s="1">
        <v>0</v>
      </c>
      <c r="Z2434" s="1">
        <v>0</v>
      </c>
      <c r="AA2434" s="1">
        <v>0</v>
      </c>
      <c r="AB2434" s="1">
        <v>0</v>
      </c>
      <c r="AC2434" s="1">
        <v>0</v>
      </c>
      <c r="AD2434" s="1">
        <v>0</v>
      </c>
    </row>
    <row r="2435" spans="1:30" s="20" customFormat="1" ht="36" customHeight="1" x14ac:dyDescent="0.25">
      <c r="A2435" s="2">
        <f t="shared" si="1361"/>
        <v>2352</v>
      </c>
      <c r="B2435" s="3">
        <f t="shared" si="1391"/>
        <v>2352</v>
      </c>
      <c r="C2435" s="19" t="s">
        <v>1451</v>
      </c>
      <c r="D2435" s="4">
        <f t="shared" si="1362"/>
        <v>13577439.75</v>
      </c>
      <c r="E2435" s="1">
        <f t="shared" si="1331"/>
        <v>9292319.75</v>
      </c>
      <c r="F2435" s="1">
        <f>804*2367.47</f>
        <v>1903445.88</v>
      </c>
      <c r="G2435" s="1">
        <f>1693*2367.47</f>
        <v>4008126.7099999995</v>
      </c>
      <c r="H2435" s="1">
        <f>390*2367.47</f>
        <v>923313.29999999993</v>
      </c>
      <c r="I2435" s="1">
        <f>571*2367.47</f>
        <v>1351825.3699999999</v>
      </c>
      <c r="J2435" s="1">
        <f>467*2367.47</f>
        <v>1105608.49</v>
      </c>
      <c r="K2435" s="1">
        <v>0</v>
      </c>
      <c r="L2435" s="2">
        <v>0</v>
      </c>
      <c r="M2435" s="1">
        <v>0</v>
      </c>
      <c r="N2435" s="1">
        <v>480</v>
      </c>
      <c r="O2435" s="1">
        <f t="shared" si="1393"/>
        <v>2384640</v>
      </c>
      <c r="P2435" s="1">
        <v>0</v>
      </c>
      <c r="Q2435" s="1">
        <f t="shared" si="1347"/>
        <v>0</v>
      </c>
      <c r="R2435" s="1">
        <v>480</v>
      </c>
      <c r="S2435" s="1">
        <f t="shared" ref="S2435:S2462" si="1398">R2435*3751</f>
        <v>1800480</v>
      </c>
      <c r="T2435" s="1">
        <v>0</v>
      </c>
      <c r="U2435" s="1">
        <v>50000</v>
      </c>
      <c r="V2435" s="1">
        <v>0</v>
      </c>
      <c r="W2435" s="1">
        <v>50000</v>
      </c>
      <c r="X2435" s="1">
        <v>0</v>
      </c>
      <c r="Y2435" s="1">
        <v>0</v>
      </c>
      <c r="Z2435" s="1">
        <v>0</v>
      </c>
      <c r="AA2435" s="1">
        <v>0</v>
      </c>
      <c r="AB2435" s="1">
        <v>0</v>
      </c>
      <c r="AC2435" s="1">
        <v>0</v>
      </c>
      <c r="AD2435" s="1">
        <v>0</v>
      </c>
    </row>
    <row r="2436" spans="1:30" s="20" customFormat="1" ht="36" customHeight="1" x14ac:dyDescent="0.25">
      <c r="A2436" s="2">
        <f t="shared" si="1361"/>
        <v>2353</v>
      </c>
      <c r="B2436" s="6">
        <f>A2436</f>
        <v>2353</v>
      </c>
      <c r="C2436" s="19" t="s">
        <v>905</v>
      </c>
      <c r="D2436" s="4">
        <f t="shared" si="1362"/>
        <v>4876300</v>
      </c>
      <c r="E2436" s="1">
        <f>SUM(F2436:K2436)</f>
        <v>0</v>
      </c>
      <c r="F2436" s="1">
        <v>0</v>
      </c>
      <c r="G2436" s="1">
        <v>0</v>
      </c>
      <c r="H2436" s="1">
        <v>0</v>
      </c>
      <c r="I2436" s="1">
        <v>0</v>
      </c>
      <c r="J2436" s="1">
        <v>0</v>
      </c>
      <c r="K2436" s="1">
        <v>0</v>
      </c>
      <c r="L2436" s="2">
        <v>0</v>
      </c>
      <c r="M2436" s="1">
        <v>0</v>
      </c>
      <c r="N2436" s="1">
        <v>0</v>
      </c>
      <c r="O2436" s="1">
        <v>0</v>
      </c>
      <c r="P2436" s="1">
        <v>0</v>
      </c>
      <c r="Q2436" s="1">
        <f>P2436*1400</f>
        <v>0</v>
      </c>
      <c r="R2436" s="1">
        <v>1300</v>
      </c>
      <c r="S2436" s="1">
        <f>R2436*3751</f>
        <v>4876300</v>
      </c>
      <c r="T2436" s="1">
        <v>0</v>
      </c>
      <c r="U2436" s="1">
        <v>0</v>
      </c>
      <c r="V2436" s="1">
        <v>0</v>
      </c>
      <c r="W2436" s="1">
        <v>0</v>
      </c>
      <c r="X2436" s="1">
        <v>0</v>
      </c>
      <c r="Y2436" s="1">
        <v>0</v>
      </c>
      <c r="Z2436" s="1">
        <v>0</v>
      </c>
      <c r="AA2436" s="1">
        <v>0</v>
      </c>
      <c r="AB2436" s="1">
        <v>0</v>
      </c>
      <c r="AC2436" s="1">
        <v>0</v>
      </c>
      <c r="AD2436" s="1">
        <v>0</v>
      </c>
    </row>
    <row r="2437" spans="1:30" s="20" customFormat="1" ht="36" customHeight="1" x14ac:dyDescent="0.25">
      <c r="A2437" s="2">
        <f t="shared" si="1361"/>
        <v>2354</v>
      </c>
      <c r="B2437" s="3">
        <f t="shared" si="1391"/>
        <v>2354</v>
      </c>
      <c r="C2437" s="19" t="s">
        <v>1452</v>
      </c>
      <c r="D2437" s="4">
        <f t="shared" si="1362"/>
        <v>26675054</v>
      </c>
      <c r="E2437" s="1">
        <f t="shared" si="1331"/>
        <v>17772400</v>
      </c>
      <c r="F2437" s="1">
        <f>804*4528</f>
        <v>3640512</v>
      </c>
      <c r="G2437" s="1">
        <f>1693*4528</f>
        <v>7665904</v>
      </c>
      <c r="H2437" s="1">
        <f>390*4528</f>
        <v>1765920</v>
      </c>
      <c r="I2437" s="1">
        <f>571*4528</f>
        <v>2585488</v>
      </c>
      <c r="J2437" s="1">
        <f>467*4528</f>
        <v>2114576</v>
      </c>
      <c r="K2437" s="1">
        <v>0</v>
      </c>
      <c r="L2437" s="2">
        <v>0</v>
      </c>
      <c r="M2437" s="1">
        <v>0</v>
      </c>
      <c r="N2437" s="1">
        <v>816</v>
      </c>
      <c r="O2437" s="1">
        <f t="shared" si="1393"/>
        <v>4053888</v>
      </c>
      <c r="P2437" s="1">
        <v>0</v>
      </c>
      <c r="Q2437" s="1">
        <f t="shared" si="1347"/>
        <v>0</v>
      </c>
      <c r="R2437" s="1">
        <v>1266</v>
      </c>
      <c r="S2437" s="1">
        <f t="shared" si="1398"/>
        <v>4748766</v>
      </c>
      <c r="T2437" s="1">
        <v>0</v>
      </c>
      <c r="U2437" s="1">
        <v>50000</v>
      </c>
      <c r="V2437" s="1">
        <v>0</v>
      </c>
      <c r="W2437" s="1">
        <v>50000</v>
      </c>
      <c r="X2437" s="1">
        <v>0</v>
      </c>
      <c r="Y2437" s="1">
        <v>0</v>
      </c>
      <c r="Z2437" s="1">
        <v>0</v>
      </c>
      <c r="AA2437" s="1">
        <v>0</v>
      </c>
      <c r="AB2437" s="1">
        <v>0</v>
      </c>
      <c r="AC2437" s="1">
        <v>0</v>
      </c>
      <c r="AD2437" s="1">
        <v>0</v>
      </c>
    </row>
    <row r="2438" spans="1:30" s="20" customFormat="1" ht="36" customHeight="1" x14ac:dyDescent="0.25">
      <c r="A2438" s="2">
        <f t="shared" si="1361"/>
        <v>2355</v>
      </c>
      <c r="B2438" s="3">
        <f t="shared" si="1391"/>
        <v>2355</v>
      </c>
      <c r="C2438" s="19" t="s">
        <v>1453</v>
      </c>
      <c r="D2438" s="4">
        <f t="shared" si="1362"/>
        <v>32079637.000000004</v>
      </c>
      <c r="E2438" s="1">
        <f t="shared" si="1331"/>
        <v>23352337.000000004</v>
      </c>
      <c r="F2438" s="1">
        <f>804*5949.64</f>
        <v>4783510.5600000005</v>
      </c>
      <c r="G2438" s="1">
        <f>1693*5949.64</f>
        <v>10072740.520000001</v>
      </c>
      <c r="H2438" s="1">
        <f>390*5949.64</f>
        <v>2320359.6</v>
      </c>
      <c r="I2438" s="1">
        <f>571*5949.64</f>
        <v>3397244.4400000004</v>
      </c>
      <c r="J2438" s="1">
        <f>467*5949.64</f>
        <v>2778481.8800000004</v>
      </c>
      <c r="K2438" s="1">
        <v>0</v>
      </c>
      <c r="L2438" s="2">
        <v>0</v>
      </c>
      <c r="M2438" s="1">
        <v>0</v>
      </c>
      <c r="N2438" s="1">
        <v>0</v>
      </c>
      <c r="O2438" s="1">
        <v>0</v>
      </c>
      <c r="P2438" s="1">
        <v>0</v>
      </c>
      <c r="Q2438" s="1">
        <f t="shared" si="1347"/>
        <v>0</v>
      </c>
      <c r="R2438" s="1">
        <v>2300</v>
      </c>
      <c r="S2438" s="1">
        <f t="shared" si="1398"/>
        <v>8627300</v>
      </c>
      <c r="T2438" s="1">
        <v>0</v>
      </c>
      <c r="U2438" s="1">
        <v>50000</v>
      </c>
      <c r="V2438" s="1">
        <v>0</v>
      </c>
      <c r="W2438" s="1">
        <v>50000</v>
      </c>
      <c r="X2438" s="1">
        <v>0</v>
      </c>
      <c r="Y2438" s="1">
        <v>0</v>
      </c>
      <c r="Z2438" s="1">
        <v>0</v>
      </c>
      <c r="AA2438" s="1">
        <v>0</v>
      </c>
      <c r="AB2438" s="1">
        <v>0</v>
      </c>
      <c r="AC2438" s="1">
        <v>0</v>
      </c>
      <c r="AD2438" s="1">
        <v>0</v>
      </c>
    </row>
    <row r="2439" spans="1:30" s="20" customFormat="1" ht="36" customHeight="1" x14ac:dyDescent="0.25">
      <c r="A2439" s="2">
        <f t="shared" si="1361"/>
        <v>2356</v>
      </c>
      <c r="B2439" s="6">
        <f>A2439</f>
        <v>2356</v>
      </c>
      <c r="C2439" s="19" t="s">
        <v>907</v>
      </c>
      <c r="D2439" s="4">
        <f t="shared" si="1362"/>
        <v>11990515</v>
      </c>
      <c r="E2439" s="1">
        <f>SUM(F2439:K2439)</f>
        <v>7064214.9999999991</v>
      </c>
      <c r="F2439" s="1">
        <f>804*1799.8</f>
        <v>1447039.2</v>
      </c>
      <c r="G2439" s="1">
        <f>1693*1799.8</f>
        <v>3047061.4</v>
      </c>
      <c r="H2439" s="1">
        <f>390*1799.8</f>
        <v>701922</v>
      </c>
      <c r="I2439" s="1">
        <f>571*1799.8</f>
        <v>1027685.7999999999</v>
      </c>
      <c r="J2439" s="1">
        <f>467*1799.8</f>
        <v>840506.6</v>
      </c>
      <c r="K2439" s="1">
        <v>0</v>
      </c>
      <c r="L2439" s="2">
        <v>0</v>
      </c>
      <c r="M2439" s="1">
        <v>0</v>
      </c>
      <c r="N2439" s="1">
        <v>0</v>
      </c>
      <c r="O2439" s="1">
        <v>0</v>
      </c>
      <c r="P2439" s="1">
        <v>0</v>
      </c>
      <c r="Q2439" s="1">
        <f>P2439*1400</f>
        <v>0</v>
      </c>
      <c r="R2439" s="1">
        <v>1300</v>
      </c>
      <c r="S2439" s="1">
        <f>R2439*3751</f>
        <v>4876300</v>
      </c>
      <c r="T2439" s="1">
        <v>0</v>
      </c>
      <c r="U2439" s="1">
        <v>50000</v>
      </c>
      <c r="V2439" s="1">
        <v>0</v>
      </c>
      <c r="W2439" s="1">
        <v>0</v>
      </c>
      <c r="X2439" s="1">
        <v>0</v>
      </c>
      <c r="Y2439" s="1">
        <v>0</v>
      </c>
      <c r="Z2439" s="1">
        <v>0</v>
      </c>
      <c r="AA2439" s="1">
        <v>0</v>
      </c>
      <c r="AB2439" s="1">
        <v>0</v>
      </c>
      <c r="AC2439" s="1">
        <v>0</v>
      </c>
      <c r="AD2439" s="1">
        <v>0</v>
      </c>
    </row>
    <row r="2440" spans="1:30" s="20" customFormat="1" ht="36" customHeight="1" x14ac:dyDescent="0.25">
      <c r="A2440" s="2">
        <f t="shared" si="1361"/>
        <v>2357</v>
      </c>
      <c r="B2440" s="3">
        <f t="shared" si="1391"/>
        <v>2357</v>
      </c>
      <c r="C2440" s="19" t="s">
        <v>1454</v>
      </c>
      <c r="D2440" s="4">
        <f t="shared" si="1362"/>
        <v>30303099.5</v>
      </c>
      <c r="E2440" s="1">
        <f t="shared" si="1331"/>
        <v>17174151.5</v>
      </c>
      <c r="F2440" s="1">
        <f>804*4375.58</f>
        <v>3517966.32</v>
      </c>
      <c r="G2440" s="1">
        <f>1693*4375.58</f>
        <v>7407856.9399999995</v>
      </c>
      <c r="H2440" s="1">
        <f>390*4375.58</f>
        <v>1706476.2</v>
      </c>
      <c r="I2440" s="1">
        <f>571*4375.58</f>
        <v>2498456.1800000002</v>
      </c>
      <c r="J2440" s="1">
        <f>467*4375.58</f>
        <v>2043395.8599999999</v>
      </c>
      <c r="K2440" s="1">
        <v>0</v>
      </c>
      <c r="L2440" s="2">
        <v>0</v>
      </c>
      <c r="M2440" s="1">
        <v>0</v>
      </c>
      <c r="N2440" s="1">
        <v>886</v>
      </c>
      <c r="O2440" s="1">
        <f>N2440*4968</f>
        <v>4401648</v>
      </c>
      <c r="P2440" s="1">
        <v>0</v>
      </c>
      <c r="Q2440" s="1">
        <f t="shared" si="1347"/>
        <v>0</v>
      </c>
      <c r="R2440" s="1">
        <v>2300</v>
      </c>
      <c r="S2440" s="1">
        <f t="shared" si="1398"/>
        <v>8627300</v>
      </c>
      <c r="T2440" s="1">
        <v>0</v>
      </c>
      <c r="U2440" s="1">
        <v>50000</v>
      </c>
      <c r="V2440" s="1">
        <v>0</v>
      </c>
      <c r="W2440" s="1">
        <v>50000</v>
      </c>
      <c r="X2440" s="1">
        <v>0</v>
      </c>
      <c r="Y2440" s="1">
        <v>0</v>
      </c>
      <c r="Z2440" s="1">
        <v>0</v>
      </c>
      <c r="AA2440" s="1">
        <v>0</v>
      </c>
      <c r="AB2440" s="1">
        <v>0</v>
      </c>
      <c r="AC2440" s="1">
        <v>0</v>
      </c>
      <c r="AD2440" s="1">
        <v>0</v>
      </c>
    </row>
    <row r="2441" spans="1:30" s="20" customFormat="1" ht="36" customHeight="1" x14ac:dyDescent="0.25">
      <c r="A2441" s="2">
        <f t="shared" si="1361"/>
        <v>2358</v>
      </c>
      <c r="B2441" s="6">
        <f>A2441</f>
        <v>2358</v>
      </c>
      <c r="C2441" s="19" t="s">
        <v>1942</v>
      </c>
      <c r="D2441" s="4">
        <f t="shared" si="1362"/>
        <v>10700000</v>
      </c>
      <c r="E2441" s="1">
        <f>SUM(F2441:K2441)</f>
        <v>0</v>
      </c>
      <c r="F2441" s="1">
        <v>0</v>
      </c>
      <c r="G2441" s="1">
        <v>0</v>
      </c>
      <c r="H2441" s="1">
        <v>0</v>
      </c>
      <c r="I2441" s="1">
        <v>0</v>
      </c>
      <c r="J2441" s="1">
        <v>0</v>
      </c>
      <c r="K2441" s="1">
        <v>0</v>
      </c>
      <c r="L2441" s="2">
        <v>3</v>
      </c>
      <c r="M2441" s="1">
        <f t="shared" ref="M2441" si="1399">L2441*3500000</f>
        <v>10500000</v>
      </c>
      <c r="N2441" s="1">
        <v>0</v>
      </c>
      <c r="O2441" s="1">
        <v>0</v>
      </c>
      <c r="P2441" s="1">
        <v>0</v>
      </c>
      <c r="Q2441" s="1">
        <f>P2441*1400</f>
        <v>0</v>
      </c>
      <c r="R2441" s="1">
        <v>0</v>
      </c>
      <c r="S2441" s="1">
        <f>R2441*3751</f>
        <v>0</v>
      </c>
      <c r="T2441" s="1">
        <v>0</v>
      </c>
      <c r="U2441" s="1">
        <v>200000</v>
      </c>
      <c r="V2441" s="1">
        <v>0</v>
      </c>
      <c r="W2441" s="1">
        <v>0</v>
      </c>
      <c r="X2441" s="1">
        <v>0</v>
      </c>
      <c r="Y2441" s="1">
        <v>0</v>
      </c>
      <c r="Z2441" s="1">
        <v>0</v>
      </c>
      <c r="AA2441" s="1">
        <v>0</v>
      </c>
      <c r="AB2441" s="1">
        <v>0</v>
      </c>
      <c r="AC2441" s="1">
        <v>0</v>
      </c>
      <c r="AD2441" s="1">
        <v>0</v>
      </c>
    </row>
    <row r="2442" spans="1:30" s="20" customFormat="1" ht="36" customHeight="1" x14ac:dyDescent="0.25">
      <c r="A2442" s="2">
        <f t="shared" si="1361"/>
        <v>2359</v>
      </c>
      <c r="B2442" s="3">
        <f t="shared" si="1391"/>
        <v>2359</v>
      </c>
      <c r="C2442" s="19" t="s">
        <v>1455</v>
      </c>
      <c r="D2442" s="4">
        <f t="shared" si="1362"/>
        <v>22644412.5</v>
      </c>
      <c r="E2442" s="1">
        <f t="shared" si="1331"/>
        <v>8095312.5</v>
      </c>
      <c r="F2442" s="1">
        <f>804*2062.5</f>
        <v>1658250</v>
      </c>
      <c r="G2442" s="1">
        <f>1693*2062.5</f>
        <v>3491812.5</v>
      </c>
      <c r="H2442" s="1">
        <f>390*2062.5</f>
        <v>804375</v>
      </c>
      <c r="I2442" s="1">
        <f>571*2062.5</f>
        <v>1177687.5</v>
      </c>
      <c r="J2442" s="1">
        <f>467*2062.5</f>
        <v>963187.5</v>
      </c>
      <c r="K2442" s="1">
        <v>0</v>
      </c>
      <c r="L2442" s="2">
        <v>0</v>
      </c>
      <c r="M2442" s="1">
        <v>0</v>
      </c>
      <c r="N2442" s="1">
        <v>1090</v>
      </c>
      <c r="O2442" s="1">
        <f>N2442*7750</f>
        <v>8447500</v>
      </c>
      <c r="P2442" s="1">
        <v>0</v>
      </c>
      <c r="Q2442" s="1">
        <f t="shared" si="1347"/>
        <v>0</v>
      </c>
      <c r="R2442" s="1">
        <v>1600</v>
      </c>
      <c r="S2442" s="1">
        <f t="shared" si="1398"/>
        <v>6001600</v>
      </c>
      <c r="T2442" s="1">
        <v>0</v>
      </c>
      <c r="U2442" s="1">
        <v>50000</v>
      </c>
      <c r="V2442" s="1">
        <v>0</v>
      </c>
      <c r="W2442" s="1">
        <v>50000</v>
      </c>
      <c r="X2442" s="1">
        <v>0</v>
      </c>
      <c r="Y2442" s="1">
        <v>0</v>
      </c>
      <c r="Z2442" s="1">
        <v>0</v>
      </c>
      <c r="AA2442" s="1">
        <v>0</v>
      </c>
      <c r="AB2442" s="1">
        <v>0</v>
      </c>
      <c r="AC2442" s="1">
        <v>0</v>
      </c>
      <c r="AD2442" s="1">
        <v>0</v>
      </c>
    </row>
    <row r="2443" spans="1:30" s="20" customFormat="1" ht="36" customHeight="1" x14ac:dyDescent="0.25">
      <c r="A2443" s="2">
        <f t="shared" si="1361"/>
        <v>2360</v>
      </c>
      <c r="B2443" s="3">
        <f t="shared" si="1391"/>
        <v>2360</v>
      </c>
      <c r="C2443" s="19" t="s">
        <v>1456</v>
      </c>
      <c r="D2443" s="4">
        <f t="shared" si="1362"/>
        <v>8814850</v>
      </c>
      <c r="E2443" s="1">
        <f t="shared" si="1331"/>
        <v>0</v>
      </c>
      <c r="F2443" s="1">
        <v>0</v>
      </c>
      <c r="G2443" s="1">
        <v>0</v>
      </c>
      <c r="H2443" s="1">
        <v>0</v>
      </c>
      <c r="I2443" s="1">
        <v>0</v>
      </c>
      <c r="J2443" s="1">
        <v>0</v>
      </c>
      <c r="K2443" s="1">
        <v>0</v>
      </c>
      <c r="L2443" s="2">
        <v>0</v>
      </c>
      <c r="M2443" s="1">
        <v>0</v>
      </c>
      <c r="N2443" s="1">
        <v>0</v>
      </c>
      <c r="O2443" s="1">
        <f>N2443*4968</f>
        <v>0</v>
      </c>
      <c r="P2443" s="1">
        <v>0</v>
      </c>
      <c r="Q2443" s="1">
        <f t="shared" si="1347"/>
        <v>0</v>
      </c>
      <c r="R2443" s="1">
        <v>2350</v>
      </c>
      <c r="S2443" s="1">
        <f t="shared" si="1398"/>
        <v>8814850</v>
      </c>
      <c r="T2443" s="1">
        <v>0</v>
      </c>
      <c r="U2443" s="1">
        <v>0</v>
      </c>
      <c r="V2443" s="1">
        <v>0</v>
      </c>
      <c r="W2443" s="1">
        <v>0</v>
      </c>
      <c r="X2443" s="1">
        <v>0</v>
      </c>
      <c r="Y2443" s="1">
        <v>0</v>
      </c>
      <c r="Z2443" s="1">
        <v>0</v>
      </c>
      <c r="AA2443" s="1">
        <v>0</v>
      </c>
      <c r="AB2443" s="1">
        <v>0</v>
      </c>
      <c r="AC2443" s="1">
        <v>0</v>
      </c>
      <c r="AD2443" s="1">
        <v>0</v>
      </c>
    </row>
    <row r="2444" spans="1:30" s="20" customFormat="1" ht="36" customHeight="1" x14ac:dyDescent="0.25">
      <c r="A2444" s="2">
        <f t="shared" si="1361"/>
        <v>2361</v>
      </c>
      <c r="B2444" s="3">
        <f t="shared" si="1391"/>
        <v>2361</v>
      </c>
      <c r="C2444" s="19" t="s">
        <v>1457</v>
      </c>
      <c r="D2444" s="4">
        <f t="shared" si="1362"/>
        <v>25262186.75</v>
      </c>
      <c r="E2444" s="1">
        <f t="shared" si="1331"/>
        <v>16534886.750000002</v>
      </c>
      <c r="F2444" s="1">
        <f>804*4212.71</f>
        <v>3387018.84</v>
      </c>
      <c r="G2444" s="1">
        <f>1693*4212.71</f>
        <v>7132118.0300000003</v>
      </c>
      <c r="H2444" s="1">
        <f>390*4212.71</f>
        <v>1642956.9</v>
      </c>
      <c r="I2444" s="1">
        <f>571*4212.71</f>
        <v>2405457.41</v>
      </c>
      <c r="J2444" s="1">
        <f>467*4212.71</f>
        <v>1967335.57</v>
      </c>
      <c r="K2444" s="1">
        <v>0</v>
      </c>
      <c r="L2444" s="2">
        <v>0</v>
      </c>
      <c r="M2444" s="1">
        <v>0</v>
      </c>
      <c r="N2444" s="1">
        <v>0</v>
      </c>
      <c r="O2444" s="1">
        <v>0</v>
      </c>
      <c r="P2444" s="1">
        <v>0</v>
      </c>
      <c r="Q2444" s="1">
        <f t="shared" si="1347"/>
        <v>0</v>
      </c>
      <c r="R2444" s="1">
        <v>2300</v>
      </c>
      <c r="S2444" s="1">
        <f t="shared" si="1398"/>
        <v>8627300</v>
      </c>
      <c r="T2444" s="1">
        <v>0</v>
      </c>
      <c r="U2444" s="1">
        <v>50000</v>
      </c>
      <c r="V2444" s="1">
        <v>0</v>
      </c>
      <c r="W2444" s="1">
        <v>50000</v>
      </c>
      <c r="X2444" s="1">
        <v>0</v>
      </c>
      <c r="Y2444" s="1">
        <v>0</v>
      </c>
      <c r="Z2444" s="1">
        <v>0</v>
      </c>
      <c r="AA2444" s="1">
        <v>0</v>
      </c>
      <c r="AB2444" s="1">
        <v>0</v>
      </c>
      <c r="AC2444" s="1">
        <v>0</v>
      </c>
      <c r="AD2444" s="1">
        <v>0</v>
      </c>
    </row>
    <row r="2445" spans="1:30" s="20" customFormat="1" ht="36" customHeight="1" x14ac:dyDescent="0.25">
      <c r="A2445" s="2">
        <f t="shared" si="1361"/>
        <v>2362</v>
      </c>
      <c r="B2445" s="3">
        <f t="shared" si="1391"/>
        <v>2362</v>
      </c>
      <c r="C2445" s="19" t="s">
        <v>1458</v>
      </c>
      <c r="D2445" s="4">
        <f t="shared" si="1362"/>
        <v>30634856.25</v>
      </c>
      <c r="E2445" s="1">
        <f t="shared" si="1331"/>
        <v>17580428.25</v>
      </c>
      <c r="F2445" s="1">
        <f>804*4479.09</f>
        <v>3601188.3600000003</v>
      </c>
      <c r="G2445" s="1">
        <f>1693*4479.09</f>
        <v>7583099.3700000001</v>
      </c>
      <c r="H2445" s="1">
        <f>390*4479.09</f>
        <v>1746845.1</v>
      </c>
      <c r="I2445" s="1">
        <f>571*4479.09</f>
        <v>2557560.39</v>
      </c>
      <c r="J2445" s="1">
        <f>467*4479.09</f>
        <v>2091735.03</v>
      </c>
      <c r="K2445" s="1">
        <v>0</v>
      </c>
      <c r="L2445" s="2">
        <v>0</v>
      </c>
      <c r="M2445" s="1">
        <v>0</v>
      </c>
      <c r="N2445" s="1">
        <v>871</v>
      </c>
      <c r="O2445" s="1">
        <f>N2445*4968</f>
        <v>4327128</v>
      </c>
      <c r="P2445" s="1">
        <v>0</v>
      </c>
      <c r="Q2445" s="1">
        <f t="shared" si="1347"/>
        <v>0</v>
      </c>
      <c r="R2445" s="1">
        <v>2300</v>
      </c>
      <c r="S2445" s="1">
        <f t="shared" si="1398"/>
        <v>8627300</v>
      </c>
      <c r="T2445" s="1">
        <v>0</v>
      </c>
      <c r="U2445" s="1">
        <v>50000</v>
      </c>
      <c r="V2445" s="1">
        <v>0</v>
      </c>
      <c r="W2445" s="1">
        <v>50000</v>
      </c>
      <c r="X2445" s="1">
        <v>0</v>
      </c>
      <c r="Y2445" s="1">
        <v>0</v>
      </c>
      <c r="Z2445" s="1">
        <v>0</v>
      </c>
      <c r="AA2445" s="1">
        <v>0</v>
      </c>
      <c r="AB2445" s="1">
        <v>0</v>
      </c>
      <c r="AC2445" s="1">
        <v>0</v>
      </c>
      <c r="AD2445" s="1">
        <v>0</v>
      </c>
    </row>
    <row r="2446" spans="1:30" s="20" customFormat="1" ht="36" customHeight="1" x14ac:dyDescent="0.25">
      <c r="A2446" s="2">
        <f t="shared" si="1361"/>
        <v>2363</v>
      </c>
      <c r="B2446" s="3">
        <f t="shared" si="1391"/>
        <v>2363</v>
      </c>
      <c r="C2446" s="19" t="s">
        <v>1459</v>
      </c>
      <c r="D2446" s="4">
        <f t="shared" si="1362"/>
        <v>32761155.999999996</v>
      </c>
      <c r="E2446" s="1">
        <f t="shared" si="1331"/>
        <v>18208859.999999996</v>
      </c>
      <c r="F2446" s="1">
        <f>804*4639.2</f>
        <v>3729916.8</v>
      </c>
      <c r="G2446" s="1">
        <f>1693*4639.2</f>
        <v>7854165.5999999996</v>
      </c>
      <c r="H2446" s="1">
        <f>390*4639.2</f>
        <v>1809288</v>
      </c>
      <c r="I2446" s="1">
        <f>571*4639.2</f>
        <v>2648983.1999999997</v>
      </c>
      <c r="J2446" s="1">
        <f>467*4639.2</f>
        <v>2166506.4</v>
      </c>
      <c r="K2446" s="1">
        <v>0</v>
      </c>
      <c r="L2446" s="2">
        <v>0</v>
      </c>
      <c r="M2446" s="1">
        <v>0</v>
      </c>
      <c r="N2446" s="1">
        <v>1097</v>
      </c>
      <c r="O2446" s="1">
        <f>N2446*4968</f>
        <v>5449896</v>
      </c>
      <c r="P2446" s="1">
        <v>0</v>
      </c>
      <c r="Q2446" s="1">
        <f t="shared" si="1347"/>
        <v>0</v>
      </c>
      <c r="R2446" s="1">
        <v>2400</v>
      </c>
      <c r="S2446" s="1">
        <f t="shared" si="1398"/>
        <v>9002400</v>
      </c>
      <c r="T2446" s="1">
        <v>0</v>
      </c>
      <c r="U2446" s="1">
        <v>50000</v>
      </c>
      <c r="V2446" s="1">
        <v>0</v>
      </c>
      <c r="W2446" s="1">
        <v>50000</v>
      </c>
      <c r="X2446" s="1">
        <v>0</v>
      </c>
      <c r="Y2446" s="1">
        <v>0</v>
      </c>
      <c r="Z2446" s="1">
        <v>0</v>
      </c>
      <c r="AA2446" s="1">
        <v>0</v>
      </c>
      <c r="AB2446" s="1">
        <v>0</v>
      </c>
      <c r="AC2446" s="1">
        <v>0</v>
      </c>
      <c r="AD2446" s="1">
        <v>0</v>
      </c>
    </row>
    <row r="2447" spans="1:30" s="20" customFormat="1" ht="36" customHeight="1" x14ac:dyDescent="0.25">
      <c r="A2447" s="2">
        <f t="shared" si="1361"/>
        <v>2364</v>
      </c>
      <c r="B2447" s="3">
        <f t="shared" si="1391"/>
        <v>2364</v>
      </c>
      <c r="C2447" s="19" t="s">
        <v>1460</v>
      </c>
      <c r="D2447" s="4">
        <f t="shared" si="1362"/>
        <v>14074400</v>
      </c>
      <c r="E2447" s="1">
        <f t="shared" si="1331"/>
        <v>0</v>
      </c>
      <c r="F2447" s="1">
        <v>0</v>
      </c>
      <c r="G2447" s="1">
        <v>0</v>
      </c>
      <c r="H2447" s="1">
        <v>0</v>
      </c>
      <c r="I2447" s="1">
        <v>0</v>
      </c>
      <c r="J2447" s="1">
        <v>0</v>
      </c>
      <c r="K2447" s="1">
        <v>0</v>
      </c>
      <c r="L2447" s="2">
        <v>0</v>
      </c>
      <c r="M2447" s="1">
        <v>0</v>
      </c>
      <c r="N2447" s="1">
        <v>890</v>
      </c>
      <c r="O2447" s="1">
        <f>N2447*7750</f>
        <v>6897500</v>
      </c>
      <c r="P2447" s="1">
        <v>0</v>
      </c>
      <c r="Q2447" s="1">
        <f t="shared" si="1347"/>
        <v>0</v>
      </c>
      <c r="R2447" s="1">
        <v>1900</v>
      </c>
      <c r="S2447" s="1">
        <f t="shared" si="1398"/>
        <v>7126900</v>
      </c>
      <c r="T2447" s="1">
        <v>0</v>
      </c>
      <c r="U2447" s="1">
        <v>0</v>
      </c>
      <c r="V2447" s="1">
        <v>0</v>
      </c>
      <c r="W2447" s="1">
        <v>50000</v>
      </c>
      <c r="X2447" s="1">
        <v>0</v>
      </c>
      <c r="Y2447" s="1">
        <v>0</v>
      </c>
      <c r="Z2447" s="1">
        <v>0</v>
      </c>
      <c r="AA2447" s="1">
        <v>0</v>
      </c>
      <c r="AB2447" s="1">
        <v>0</v>
      </c>
      <c r="AC2447" s="1">
        <v>0</v>
      </c>
      <c r="AD2447" s="1">
        <v>0</v>
      </c>
    </row>
    <row r="2448" spans="1:30" s="20" customFormat="1" ht="36" customHeight="1" x14ac:dyDescent="0.25">
      <c r="A2448" s="2">
        <f t="shared" si="1361"/>
        <v>2365</v>
      </c>
      <c r="B2448" s="3">
        <f t="shared" si="1391"/>
        <v>2365</v>
      </c>
      <c r="C2448" s="19" t="s">
        <v>1461</v>
      </c>
      <c r="D2448" s="4">
        <f t="shared" si="1362"/>
        <v>39563175</v>
      </c>
      <c r="E2448" s="1">
        <f t="shared" si="1331"/>
        <v>22706125</v>
      </c>
      <c r="F2448" s="1">
        <f>804*5785</f>
        <v>4651140</v>
      </c>
      <c r="G2448" s="1">
        <f>1693*5785</f>
        <v>9794005</v>
      </c>
      <c r="H2448" s="1">
        <f>390*5785</f>
        <v>2256150</v>
      </c>
      <c r="I2448" s="1">
        <f>571*5785</f>
        <v>3303235</v>
      </c>
      <c r="J2448" s="1">
        <f>467*5785</f>
        <v>2701595</v>
      </c>
      <c r="K2448" s="1">
        <v>0</v>
      </c>
      <c r="L2448" s="2">
        <v>0</v>
      </c>
      <c r="M2448" s="1">
        <v>0</v>
      </c>
      <c r="N2448" s="1">
        <v>1049</v>
      </c>
      <c r="O2448" s="1">
        <f>N2448*7750</f>
        <v>8129750</v>
      </c>
      <c r="P2448" s="1">
        <v>0</v>
      </c>
      <c r="Q2448" s="1">
        <f t="shared" si="1347"/>
        <v>0</v>
      </c>
      <c r="R2448" s="1">
        <v>2300</v>
      </c>
      <c r="S2448" s="1">
        <f t="shared" si="1398"/>
        <v>8627300</v>
      </c>
      <c r="T2448" s="1">
        <v>0</v>
      </c>
      <c r="U2448" s="1">
        <v>50000</v>
      </c>
      <c r="V2448" s="1">
        <v>0</v>
      </c>
      <c r="W2448" s="1">
        <v>50000</v>
      </c>
      <c r="X2448" s="1">
        <v>0</v>
      </c>
      <c r="Y2448" s="1">
        <v>0</v>
      </c>
      <c r="Z2448" s="1">
        <v>0</v>
      </c>
      <c r="AA2448" s="1">
        <v>0</v>
      </c>
      <c r="AB2448" s="1">
        <v>0</v>
      </c>
      <c r="AC2448" s="1">
        <v>0</v>
      </c>
      <c r="AD2448" s="1">
        <v>0</v>
      </c>
    </row>
    <row r="2449" spans="1:30" s="20" customFormat="1" ht="36" customHeight="1" x14ac:dyDescent="0.25">
      <c r="A2449" s="2">
        <f t="shared" si="1361"/>
        <v>2366</v>
      </c>
      <c r="B2449" s="6">
        <f>A2449</f>
        <v>2366</v>
      </c>
      <c r="C2449" s="19" t="s">
        <v>1943</v>
      </c>
      <c r="D2449" s="4">
        <f t="shared" si="1362"/>
        <v>3700000</v>
      </c>
      <c r="E2449" s="1">
        <f>SUM(F2449:K2449)</f>
        <v>0</v>
      </c>
      <c r="F2449" s="1">
        <v>0</v>
      </c>
      <c r="G2449" s="1">
        <v>0</v>
      </c>
      <c r="H2449" s="1">
        <v>0</v>
      </c>
      <c r="I2449" s="1">
        <v>0</v>
      </c>
      <c r="J2449" s="1">
        <v>0</v>
      </c>
      <c r="K2449" s="1">
        <v>0</v>
      </c>
      <c r="L2449" s="2">
        <v>1</v>
      </c>
      <c r="M2449" s="1">
        <f t="shared" ref="M2449" si="1400">L2449*3500000</f>
        <v>3500000</v>
      </c>
      <c r="N2449" s="1">
        <v>0</v>
      </c>
      <c r="O2449" s="1">
        <v>0</v>
      </c>
      <c r="P2449" s="1">
        <v>0</v>
      </c>
      <c r="Q2449" s="1">
        <f>P2449*1400</f>
        <v>0</v>
      </c>
      <c r="R2449" s="1">
        <v>0</v>
      </c>
      <c r="S2449" s="1">
        <f>R2449*3751</f>
        <v>0</v>
      </c>
      <c r="T2449" s="1">
        <v>0</v>
      </c>
      <c r="U2449" s="1">
        <v>200000</v>
      </c>
      <c r="V2449" s="1">
        <v>0</v>
      </c>
      <c r="W2449" s="1">
        <v>0</v>
      </c>
      <c r="X2449" s="1">
        <v>0</v>
      </c>
      <c r="Y2449" s="1">
        <v>0</v>
      </c>
      <c r="Z2449" s="1">
        <v>0</v>
      </c>
      <c r="AA2449" s="1">
        <v>0</v>
      </c>
      <c r="AB2449" s="1">
        <v>0</v>
      </c>
      <c r="AC2449" s="1">
        <v>0</v>
      </c>
      <c r="AD2449" s="1">
        <v>0</v>
      </c>
    </row>
    <row r="2450" spans="1:30" s="20" customFormat="1" ht="36" customHeight="1" x14ac:dyDescent="0.25">
      <c r="A2450" s="2">
        <f t="shared" si="1361"/>
        <v>2367</v>
      </c>
      <c r="B2450" s="6">
        <f>A2450</f>
        <v>2367</v>
      </c>
      <c r="C2450" s="19" t="s">
        <v>914</v>
      </c>
      <c r="D2450" s="4">
        <f t="shared" si="1362"/>
        <v>48053635</v>
      </c>
      <c r="E2450" s="1">
        <f>SUM(F2450:K2450)</f>
        <v>32436985</v>
      </c>
      <c r="F2450" s="1">
        <f>804*8264.2</f>
        <v>6644416.8000000007</v>
      </c>
      <c r="G2450" s="1">
        <f>1693*8264.2</f>
        <v>13991290.600000001</v>
      </c>
      <c r="H2450" s="1">
        <f>390*8264.2</f>
        <v>3223038.0000000005</v>
      </c>
      <c r="I2450" s="1">
        <f>571*8264.2</f>
        <v>4718858.2</v>
      </c>
      <c r="J2450" s="1">
        <f>467*8264.2</f>
        <v>3859381.4000000004</v>
      </c>
      <c r="K2450" s="1">
        <v>0</v>
      </c>
      <c r="L2450" s="2">
        <v>0</v>
      </c>
      <c r="M2450" s="1">
        <v>0</v>
      </c>
      <c r="N2450" s="1">
        <v>0</v>
      </c>
      <c r="O2450" s="1">
        <v>0</v>
      </c>
      <c r="P2450" s="1">
        <v>0</v>
      </c>
      <c r="Q2450" s="1">
        <f>P2450*1400</f>
        <v>0</v>
      </c>
      <c r="R2450" s="1">
        <v>4150</v>
      </c>
      <c r="S2450" s="1">
        <f>R2450*3751</f>
        <v>15566650</v>
      </c>
      <c r="T2450" s="1">
        <v>0</v>
      </c>
      <c r="U2450" s="1">
        <v>50000</v>
      </c>
      <c r="V2450" s="1">
        <v>0</v>
      </c>
      <c r="W2450" s="1">
        <v>0</v>
      </c>
      <c r="X2450" s="1">
        <v>0</v>
      </c>
      <c r="Y2450" s="1">
        <v>0</v>
      </c>
      <c r="Z2450" s="1">
        <v>0</v>
      </c>
      <c r="AA2450" s="1">
        <v>0</v>
      </c>
      <c r="AB2450" s="1">
        <v>0</v>
      </c>
      <c r="AC2450" s="1">
        <v>0</v>
      </c>
      <c r="AD2450" s="1">
        <v>0</v>
      </c>
    </row>
    <row r="2451" spans="1:30" s="20" customFormat="1" ht="36" customHeight="1" x14ac:dyDescent="0.25">
      <c r="A2451" s="2">
        <f t="shared" si="1361"/>
        <v>2368</v>
      </c>
      <c r="B2451" s="3">
        <f t="shared" si="1391"/>
        <v>2368</v>
      </c>
      <c r="C2451" s="19" t="s">
        <v>1462</v>
      </c>
      <c r="D2451" s="4">
        <f t="shared" si="1362"/>
        <v>37769262.5</v>
      </c>
      <c r="E2451" s="1">
        <f t="shared" si="1331"/>
        <v>20137212.5</v>
      </c>
      <c r="F2451" s="1">
        <f>804*5130.5</f>
        <v>4124922</v>
      </c>
      <c r="G2451" s="1">
        <f>1693*5130.5</f>
        <v>8685936.5</v>
      </c>
      <c r="H2451" s="1">
        <f>390*5130.5</f>
        <v>2000895</v>
      </c>
      <c r="I2451" s="1">
        <f>571*5130.5</f>
        <v>2929515.5</v>
      </c>
      <c r="J2451" s="1">
        <f>467*5130.5</f>
        <v>2395943.5</v>
      </c>
      <c r="K2451" s="1">
        <v>0</v>
      </c>
      <c r="L2451" s="2">
        <v>0</v>
      </c>
      <c r="M2451" s="1">
        <v>0</v>
      </c>
      <c r="N2451" s="1">
        <v>1149</v>
      </c>
      <c r="O2451" s="1">
        <f>N2451*7750</f>
        <v>8904750</v>
      </c>
      <c r="P2451" s="1">
        <v>0</v>
      </c>
      <c r="Q2451" s="1">
        <f t="shared" si="1347"/>
        <v>0</v>
      </c>
      <c r="R2451" s="1">
        <v>2300</v>
      </c>
      <c r="S2451" s="1">
        <f t="shared" si="1398"/>
        <v>8627300</v>
      </c>
      <c r="T2451" s="1">
        <v>0</v>
      </c>
      <c r="U2451" s="1">
        <v>50000</v>
      </c>
      <c r="V2451" s="1">
        <v>0</v>
      </c>
      <c r="W2451" s="1">
        <v>50000</v>
      </c>
      <c r="X2451" s="1">
        <v>0</v>
      </c>
      <c r="Y2451" s="1">
        <v>0</v>
      </c>
      <c r="Z2451" s="1">
        <v>0</v>
      </c>
      <c r="AA2451" s="1">
        <v>0</v>
      </c>
      <c r="AB2451" s="1">
        <v>0</v>
      </c>
      <c r="AC2451" s="1">
        <v>0</v>
      </c>
      <c r="AD2451" s="1">
        <v>0</v>
      </c>
    </row>
    <row r="2452" spans="1:30" s="20" customFormat="1" ht="36" customHeight="1" x14ac:dyDescent="0.25">
      <c r="A2452" s="2">
        <f t="shared" si="1361"/>
        <v>2369</v>
      </c>
      <c r="B2452" s="6">
        <f>A2452</f>
        <v>2369</v>
      </c>
      <c r="C2452" s="19" t="s">
        <v>917</v>
      </c>
      <c r="D2452" s="4">
        <f t="shared" si="1362"/>
        <v>14704384</v>
      </c>
      <c r="E2452" s="1">
        <f>SUM(F2452:K2452)</f>
        <v>10128384</v>
      </c>
      <c r="F2452" s="1">
        <f>804*2580.48</f>
        <v>2074705.9199999999</v>
      </c>
      <c r="G2452" s="1">
        <f>1693*2580.48</f>
        <v>4368752.6399999997</v>
      </c>
      <c r="H2452" s="1">
        <f>390*2580.48</f>
        <v>1006387.2</v>
      </c>
      <c r="I2452" s="1">
        <f>571*2580.48</f>
        <v>1473454.0800000001</v>
      </c>
      <c r="J2452" s="1">
        <f>467*2580.48</f>
        <v>1205084.1599999999</v>
      </c>
      <c r="K2452" s="1">
        <v>0</v>
      </c>
      <c r="L2452" s="2">
        <v>0</v>
      </c>
      <c r="M2452" s="1">
        <v>0</v>
      </c>
      <c r="N2452" s="1">
        <v>584</v>
      </c>
      <c r="O2452" s="1">
        <f>N2452*7750</f>
        <v>4526000</v>
      </c>
      <c r="P2452" s="1">
        <v>0</v>
      </c>
      <c r="Q2452" s="1">
        <f>P2452*1400</f>
        <v>0</v>
      </c>
      <c r="R2452" s="1">
        <v>0</v>
      </c>
      <c r="S2452" s="1">
        <f>R2452*3751</f>
        <v>0</v>
      </c>
      <c r="T2452" s="1">
        <v>0</v>
      </c>
      <c r="U2452" s="1">
        <v>50000</v>
      </c>
      <c r="V2452" s="1">
        <v>0</v>
      </c>
      <c r="W2452" s="1">
        <v>0</v>
      </c>
      <c r="X2452" s="1">
        <v>0</v>
      </c>
      <c r="Y2452" s="1">
        <v>0</v>
      </c>
      <c r="Z2452" s="1">
        <v>0</v>
      </c>
      <c r="AA2452" s="1">
        <v>0</v>
      </c>
      <c r="AB2452" s="1">
        <v>0</v>
      </c>
      <c r="AC2452" s="1">
        <v>0</v>
      </c>
      <c r="AD2452" s="1">
        <v>0</v>
      </c>
    </row>
    <row r="2453" spans="1:30" s="20" customFormat="1" ht="36" customHeight="1" x14ac:dyDescent="0.25">
      <c r="A2453" s="2">
        <f t="shared" si="1361"/>
        <v>2370</v>
      </c>
      <c r="B2453" s="6">
        <f>A2453</f>
        <v>2370</v>
      </c>
      <c r="C2453" s="19" t="s">
        <v>918</v>
      </c>
      <c r="D2453" s="4">
        <f t="shared" si="1362"/>
        <v>19541748.5</v>
      </c>
      <c r="E2453" s="1">
        <f>SUM(F2453:K2453)</f>
        <v>10010398.5</v>
      </c>
      <c r="F2453" s="1">
        <f>804*2550.42</f>
        <v>2050537.6800000002</v>
      </c>
      <c r="G2453" s="1">
        <f>1693*2550.42</f>
        <v>4317861.0600000005</v>
      </c>
      <c r="H2453" s="1">
        <f>390*2550.42</f>
        <v>994663.8</v>
      </c>
      <c r="I2453" s="1">
        <f>571*2550.42</f>
        <v>1456289.82</v>
      </c>
      <c r="J2453" s="1">
        <f>467*2550.42</f>
        <v>1191046.1400000001</v>
      </c>
      <c r="K2453" s="1">
        <v>0</v>
      </c>
      <c r="L2453" s="2">
        <v>0</v>
      </c>
      <c r="M2453" s="1">
        <v>0</v>
      </c>
      <c r="N2453" s="1">
        <v>570</v>
      </c>
      <c r="O2453" s="1">
        <f>N2453*7750</f>
        <v>4417500</v>
      </c>
      <c r="P2453" s="1">
        <v>0</v>
      </c>
      <c r="Q2453" s="1">
        <f>P2453*1400</f>
        <v>0</v>
      </c>
      <c r="R2453" s="1">
        <v>1350</v>
      </c>
      <c r="S2453" s="1">
        <f>R2453*3751</f>
        <v>5063850</v>
      </c>
      <c r="T2453" s="1">
        <v>0</v>
      </c>
      <c r="U2453" s="1">
        <v>50000</v>
      </c>
      <c r="V2453" s="1">
        <v>0</v>
      </c>
      <c r="W2453" s="1">
        <v>0</v>
      </c>
      <c r="X2453" s="1">
        <v>0</v>
      </c>
      <c r="Y2453" s="1">
        <v>0</v>
      </c>
      <c r="Z2453" s="1">
        <v>0</v>
      </c>
      <c r="AA2453" s="1">
        <v>0</v>
      </c>
      <c r="AB2453" s="1">
        <v>0</v>
      </c>
      <c r="AC2453" s="1">
        <v>0</v>
      </c>
      <c r="AD2453" s="1">
        <v>0</v>
      </c>
    </row>
    <row r="2454" spans="1:30" s="20" customFormat="1" ht="36" customHeight="1" x14ac:dyDescent="0.25">
      <c r="A2454" s="2">
        <f t="shared" si="1361"/>
        <v>2371</v>
      </c>
      <c r="B2454" s="3">
        <f t="shared" si="1391"/>
        <v>2371</v>
      </c>
      <c r="C2454" s="19" t="s">
        <v>1463</v>
      </c>
      <c r="D2454" s="4">
        <f t="shared" si="1362"/>
        <v>40220286</v>
      </c>
      <c r="E2454" s="1">
        <f t="shared" si="1331"/>
        <v>23491909.999999996</v>
      </c>
      <c r="F2454" s="1">
        <f>804*5985.2</f>
        <v>4812100.8</v>
      </c>
      <c r="G2454" s="1">
        <f>1693*5985.2</f>
        <v>10132943.6</v>
      </c>
      <c r="H2454" s="1">
        <f>390*5985.2</f>
        <v>2334228</v>
      </c>
      <c r="I2454" s="1">
        <f>571*5985.2</f>
        <v>3417549.1999999997</v>
      </c>
      <c r="J2454" s="1">
        <f>467*5985.2</f>
        <v>2795088.4</v>
      </c>
      <c r="K2454" s="1">
        <v>0</v>
      </c>
      <c r="L2454" s="2">
        <v>0</v>
      </c>
      <c r="M2454" s="1">
        <v>0</v>
      </c>
      <c r="N2454" s="1">
        <v>1082</v>
      </c>
      <c r="O2454" s="1">
        <f>N2454*4968</f>
        <v>5375376</v>
      </c>
      <c r="P2454" s="1">
        <v>0</v>
      </c>
      <c r="Q2454" s="1">
        <f t="shared" si="1347"/>
        <v>0</v>
      </c>
      <c r="R2454" s="1">
        <v>3000</v>
      </c>
      <c r="S2454" s="1">
        <f t="shared" si="1398"/>
        <v>11253000</v>
      </c>
      <c r="T2454" s="1">
        <v>0</v>
      </c>
      <c r="U2454" s="1">
        <v>50000</v>
      </c>
      <c r="V2454" s="1">
        <v>0</v>
      </c>
      <c r="W2454" s="1">
        <v>50000</v>
      </c>
      <c r="X2454" s="1">
        <v>0</v>
      </c>
      <c r="Y2454" s="1">
        <v>0</v>
      </c>
      <c r="Z2454" s="1">
        <v>0</v>
      </c>
      <c r="AA2454" s="1">
        <v>0</v>
      </c>
      <c r="AB2454" s="1">
        <v>0</v>
      </c>
      <c r="AC2454" s="1">
        <v>0</v>
      </c>
      <c r="AD2454" s="1">
        <v>0</v>
      </c>
    </row>
    <row r="2455" spans="1:30" s="20" customFormat="1" ht="36" customHeight="1" x14ac:dyDescent="0.25">
      <c r="A2455" s="2">
        <f t="shared" ref="A2455:A2518" si="1401">ROW()-ROW($A$11)-72</f>
        <v>2372</v>
      </c>
      <c r="B2455" s="6">
        <f>A2455</f>
        <v>2372</v>
      </c>
      <c r="C2455" s="19" t="s">
        <v>1944</v>
      </c>
      <c r="D2455" s="4">
        <f t="shared" si="1362"/>
        <v>3700000</v>
      </c>
      <c r="E2455" s="1">
        <f>SUM(F2455:K2455)</f>
        <v>0</v>
      </c>
      <c r="F2455" s="1">
        <v>0</v>
      </c>
      <c r="G2455" s="1">
        <v>0</v>
      </c>
      <c r="H2455" s="1">
        <v>0</v>
      </c>
      <c r="I2455" s="1">
        <v>0</v>
      </c>
      <c r="J2455" s="1">
        <v>0</v>
      </c>
      <c r="K2455" s="1">
        <v>0</v>
      </c>
      <c r="L2455" s="2">
        <v>1</v>
      </c>
      <c r="M2455" s="1">
        <f t="shared" ref="M2455" si="1402">L2455*3500000</f>
        <v>3500000</v>
      </c>
      <c r="N2455" s="1">
        <v>0</v>
      </c>
      <c r="O2455" s="1">
        <v>0</v>
      </c>
      <c r="P2455" s="1">
        <v>0</v>
      </c>
      <c r="Q2455" s="1">
        <f>P2455*1400</f>
        <v>0</v>
      </c>
      <c r="R2455" s="1">
        <v>0</v>
      </c>
      <c r="S2455" s="1">
        <f>R2455*3751</f>
        <v>0</v>
      </c>
      <c r="T2455" s="1">
        <v>0</v>
      </c>
      <c r="U2455" s="1">
        <v>200000</v>
      </c>
      <c r="V2455" s="1">
        <v>0</v>
      </c>
      <c r="W2455" s="1">
        <v>0</v>
      </c>
      <c r="X2455" s="1">
        <v>0</v>
      </c>
      <c r="Y2455" s="1">
        <v>0</v>
      </c>
      <c r="Z2455" s="1">
        <v>0</v>
      </c>
      <c r="AA2455" s="1">
        <v>0</v>
      </c>
      <c r="AB2455" s="1">
        <v>0</v>
      </c>
      <c r="AC2455" s="1">
        <v>0</v>
      </c>
      <c r="AD2455" s="1">
        <v>0</v>
      </c>
    </row>
    <row r="2456" spans="1:30" s="20" customFormat="1" ht="36" customHeight="1" x14ac:dyDescent="0.25">
      <c r="A2456" s="2">
        <f t="shared" si="1401"/>
        <v>2373</v>
      </c>
      <c r="B2456" s="3">
        <f t="shared" si="1391"/>
        <v>2373</v>
      </c>
      <c r="C2456" s="19" t="s">
        <v>1464</v>
      </c>
      <c r="D2456" s="4">
        <f t="shared" si="1362"/>
        <v>14968779</v>
      </c>
      <c r="E2456" s="1">
        <f t="shared" si="1331"/>
        <v>7232204.9999999991</v>
      </c>
      <c r="F2456" s="1">
        <f>804*1842.6</f>
        <v>1481450.4</v>
      </c>
      <c r="G2456" s="1">
        <f>1693*1842.6</f>
        <v>3119521.8</v>
      </c>
      <c r="H2456" s="1">
        <f>390*1842.6</f>
        <v>718614</v>
      </c>
      <c r="I2456" s="1">
        <f>571*1842.6</f>
        <v>1052124.5999999999</v>
      </c>
      <c r="J2456" s="1">
        <f>467*1842.6</f>
        <v>860494.2</v>
      </c>
      <c r="K2456" s="1">
        <v>0</v>
      </c>
      <c r="L2456" s="2">
        <v>0</v>
      </c>
      <c r="M2456" s="1">
        <v>0</v>
      </c>
      <c r="N2456" s="1">
        <v>539</v>
      </c>
      <c r="O2456" s="1">
        <f>N2456*4968</f>
        <v>2677752</v>
      </c>
      <c r="P2456" s="1">
        <v>0</v>
      </c>
      <c r="Q2456" s="1">
        <f t="shared" si="1347"/>
        <v>0</v>
      </c>
      <c r="R2456" s="1">
        <v>1322</v>
      </c>
      <c r="S2456" s="1">
        <f t="shared" si="1398"/>
        <v>4958822</v>
      </c>
      <c r="T2456" s="1">
        <v>0</v>
      </c>
      <c r="U2456" s="1">
        <v>50000</v>
      </c>
      <c r="V2456" s="1">
        <v>0</v>
      </c>
      <c r="W2456" s="1">
        <v>50000</v>
      </c>
      <c r="X2456" s="1">
        <v>0</v>
      </c>
      <c r="Y2456" s="1">
        <v>0</v>
      </c>
      <c r="Z2456" s="1">
        <v>0</v>
      </c>
      <c r="AA2456" s="1">
        <v>0</v>
      </c>
      <c r="AB2456" s="1">
        <v>0</v>
      </c>
      <c r="AC2456" s="1">
        <v>0</v>
      </c>
      <c r="AD2456" s="1">
        <v>0</v>
      </c>
    </row>
    <row r="2457" spans="1:30" s="20" customFormat="1" ht="36" customHeight="1" x14ac:dyDescent="0.25">
      <c r="A2457" s="2">
        <f t="shared" si="1401"/>
        <v>2374</v>
      </c>
      <c r="B2457" s="6">
        <f>A2457</f>
        <v>2374</v>
      </c>
      <c r="C2457" s="19" t="s">
        <v>924</v>
      </c>
      <c r="D2457" s="4">
        <f t="shared" si="1362"/>
        <v>27231034.050000001</v>
      </c>
      <c r="E2457" s="1">
        <f>SUM(F2457:K2457)</f>
        <v>15215458.750000002</v>
      </c>
      <c r="F2457" s="1">
        <f>804*3876.55</f>
        <v>3116746.2</v>
      </c>
      <c r="G2457" s="1">
        <f>1693*3876.55</f>
        <v>6562999.1500000004</v>
      </c>
      <c r="H2457" s="1">
        <f>390*3876.55</f>
        <v>1511854.5</v>
      </c>
      <c r="I2457" s="1">
        <f>571*3876.55</f>
        <v>2213510.0500000003</v>
      </c>
      <c r="J2457" s="1">
        <f>467*3876.55</f>
        <v>1810348.85</v>
      </c>
      <c r="K2457" s="1">
        <v>0</v>
      </c>
      <c r="L2457" s="2">
        <v>0</v>
      </c>
      <c r="M2457" s="1">
        <v>0</v>
      </c>
      <c r="N2457" s="1">
        <v>963</v>
      </c>
      <c r="O2457" s="1">
        <f>N2457*7750</f>
        <v>7463250</v>
      </c>
      <c r="P2457" s="1">
        <v>0</v>
      </c>
      <c r="Q2457" s="1">
        <f>P2457*1400</f>
        <v>0</v>
      </c>
      <c r="R2457" s="1">
        <v>1200.3</v>
      </c>
      <c r="S2457" s="1">
        <f>R2457*3751</f>
        <v>4502325.3</v>
      </c>
      <c r="T2457" s="1">
        <v>0</v>
      </c>
      <c r="U2457" s="1">
        <v>50000</v>
      </c>
      <c r="V2457" s="1">
        <v>0</v>
      </c>
      <c r="W2457" s="1">
        <v>0</v>
      </c>
      <c r="X2457" s="1">
        <v>0</v>
      </c>
      <c r="Y2457" s="1">
        <v>0</v>
      </c>
      <c r="Z2457" s="1">
        <v>0</v>
      </c>
      <c r="AA2457" s="1">
        <v>0</v>
      </c>
      <c r="AB2457" s="1">
        <v>0</v>
      </c>
      <c r="AC2457" s="1">
        <v>0</v>
      </c>
      <c r="AD2457" s="1">
        <v>0</v>
      </c>
    </row>
    <row r="2458" spans="1:30" s="20" customFormat="1" ht="36" customHeight="1" x14ac:dyDescent="0.25">
      <c r="A2458" s="2">
        <f t="shared" si="1401"/>
        <v>2375</v>
      </c>
      <c r="B2458" s="6">
        <f>A2458</f>
        <v>2375</v>
      </c>
      <c r="C2458" s="19" t="s">
        <v>925</v>
      </c>
      <c r="D2458" s="4">
        <f t="shared" ref="D2458:D2521" si="1403">E2458+M2458+O2458+Q2458+S2458+T2458+U2458+V2458+W2458+X2458+Z2458+AA2458+AB2458+AC2458+AD2458</f>
        <v>28039722.5</v>
      </c>
      <c r="E2458" s="1">
        <f>SUM(F2458:K2458)</f>
        <v>13704922.499999998</v>
      </c>
      <c r="F2458" s="1">
        <f>804*3491.7</f>
        <v>2807326.8</v>
      </c>
      <c r="G2458" s="1">
        <f>1693*3491.7</f>
        <v>5911448.0999999996</v>
      </c>
      <c r="H2458" s="1">
        <f>390*3491.7</f>
        <v>1361763</v>
      </c>
      <c r="I2458" s="1">
        <f>571*3491.7</f>
        <v>1993760.7</v>
      </c>
      <c r="J2458" s="1">
        <f>467*3491.7</f>
        <v>1630623.9</v>
      </c>
      <c r="K2458" s="1">
        <v>0</v>
      </c>
      <c r="L2458" s="2">
        <v>0</v>
      </c>
      <c r="M2458" s="1">
        <v>0</v>
      </c>
      <c r="N2458" s="1">
        <v>1214</v>
      </c>
      <c r="O2458" s="1">
        <f>N2458*7750</f>
        <v>9408500</v>
      </c>
      <c r="P2458" s="1">
        <v>0</v>
      </c>
      <c r="Q2458" s="1">
        <f>P2458*1400</f>
        <v>0</v>
      </c>
      <c r="R2458" s="1">
        <v>1300</v>
      </c>
      <c r="S2458" s="1">
        <f>R2458*3751</f>
        <v>4876300</v>
      </c>
      <c r="T2458" s="1">
        <v>0</v>
      </c>
      <c r="U2458" s="1">
        <v>50000</v>
      </c>
      <c r="V2458" s="1">
        <v>0</v>
      </c>
      <c r="W2458" s="1">
        <v>0</v>
      </c>
      <c r="X2458" s="1">
        <v>0</v>
      </c>
      <c r="Y2458" s="1">
        <v>0</v>
      </c>
      <c r="Z2458" s="1">
        <v>0</v>
      </c>
      <c r="AA2458" s="1">
        <v>0</v>
      </c>
      <c r="AB2458" s="1">
        <v>0</v>
      </c>
      <c r="AC2458" s="1">
        <v>0</v>
      </c>
      <c r="AD2458" s="1">
        <v>0</v>
      </c>
    </row>
    <row r="2459" spans="1:30" s="20" customFormat="1" ht="36" customHeight="1" x14ac:dyDescent="0.25">
      <c r="A2459" s="2">
        <f t="shared" si="1401"/>
        <v>2376</v>
      </c>
      <c r="B2459" s="3">
        <f t="shared" si="1391"/>
        <v>2376</v>
      </c>
      <c r="C2459" s="19" t="s">
        <v>1465</v>
      </c>
      <c r="D2459" s="4">
        <f t="shared" si="1403"/>
        <v>32925741</v>
      </c>
      <c r="E2459" s="1">
        <f t="shared" si="1331"/>
        <v>23200675</v>
      </c>
      <c r="F2459" s="1">
        <f>804*5911</f>
        <v>4752444</v>
      </c>
      <c r="G2459" s="1">
        <f>1693*5911</f>
        <v>10007323</v>
      </c>
      <c r="H2459" s="1">
        <f>390*5911</f>
        <v>2305290</v>
      </c>
      <c r="I2459" s="1">
        <f>571*5911</f>
        <v>3375181</v>
      </c>
      <c r="J2459" s="1">
        <f>467*5911</f>
        <v>2760437</v>
      </c>
      <c r="K2459" s="1">
        <v>0</v>
      </c>
      <c r="L2459" s="2">
        <v>0</v>
      </c>
      <c r="M2459" s="1">
        <v>0</v>
      </c>
      <c r="N2459" s="1">
        <v>0</v>
      </c>
      <c r="O2459" s="1">
        <v>0</v>
      </c>
      <c r="P2459" s="1">
        <v>0</v>
      </c>
      <c r="Q2459" s="1">
        <f t="shared" si="1347"/>
        <v>0</v>
      </c>
      <c r="R2459" s="1">
        <v>2566</v>
      </c>
      <c r="S2459" s="1">
        <f>R2459*3751</f>
        <v>9625066</v>
      </c>
      <c r="T2459" s="1">
        <v>0</v>
      </c>
      <c r="U2459" s="1">
        <v>50000</v>
      </c>
      <c r="V2459" s="1">
        <v>0</v>
      </c>
      <c r="W2459" s="1">
        <v>50000</v>
      </c>
      <c r="X2459" s="1">
        <v>0</v>
      </c>
      <c r="Y2459" s="1">
        <v>0</v>
      </c>
      <c r="Z2459" s="1">
        <v>0</v>
      </c>
      <c r="AA2459" s="1">
        <v>0</v>
      </c>
      <c r="AB2459" s="1">
        <v>0</v>
      </c>
      <c r="AC2459" s="1">
        <v>0</v>
      </c>
      <c r="AD2459" s="1">
        <v>0</v>
      </c>
    </row>
    <row r="2460" spans="1:30" s="20" customFormat="1" ht="36" customHeight="1" x14ac:dyDescent="0.25">
      <c r="A2460" s="2">
        <f t="shared" si="1401"/>
        <v>2377</v>
      </c>
      <c r="B2460" s="3">
        <f t="shared" si="1391"/>
        <v>2377</v>
      </c>
      <c r="C2460" s="19" t="s">
        <v>1466</v>
      </c>
      <c r="D2460" s="4">
        <f t="shared" si="1403"/>
        <v>31631290</v>
      </c>
      <c r="E2460" s="1">
        <f t="shared" si="1331"/>
        <v>19460464</v>
      </c>
      <c r="F2460" s="1">
        <f>804*4958.08</f>
        <v>3986296.32</v>
      </c>
      <c r="G2460" s="1">
        <f>1693*4958.08</f>
        <v>8394029.4399999995</v>
      </c>
      <c r="H2460" s="1">
        <f>390*4958.08</f>
        <v>1933651.2</v>
      </c>
      <c r="I2460" s="1">
        <f>571*4958.08</f>
        <v>2831063.68</v>
      </c>
      <c r="J2460" s="1">
        <f>467*4958.08</f>
        <v>2315423.36</v>
      </c>
      <c r="K2460" s="1">
        <v>0</v>
      </c>
      <c r="L2460" s="2">
        <v>0</v>
      </c>
      <c r="M2460" s="1">
        <v>0</v>
      </c>
      <c r="N2460" s="1">
        <v>897</v>
      </c>
      <c r="O2460" s="1">
        <f>N2460*4968</f>
        <v>4456296</v>
      </c>
      <c r="P2460" s="1">
        <v>0</v>
      </c>
      <c r="Q2460" s="1">
        <f t="shared" si="1347"/>
        <v>0</v>
      </c>
      <c r="R2460" s="1">
        <v>2030</v>
      </c>
      <c r="S2460" s="1">
        <f t="shared" si="1398"/>
        <v>7614530</v>
      </c>
      <c r="T2460" s="1">
        <v>0</v>
      </c>
      <c r="U2460" s="1">
        <v>50000</v>
      </c>
      <c r="V2460" s="1">
        <v>0</v>
      </c>
      <c r="W2460" s="1">
        <v>50000</v>
      </c>
      <c r="X2460" s="1">
        <v>0</v>
      </c>
      <c r="Y2460" s="1">
        <v>0</v>
      </c>
      <c r="Z2460" s="1">
        <v>0</v>
      </c>
      <c r="AA2460" s="1">
        <v>0</v>
      </c>
      <c r="AB2460" s="1">
        <v>0</v>
      </c>
      <c r="AC2460" s="1">
        <v>0</v>
      </c>
      <c r="AD2460" s="1">
        <v>0</v>
      </c>
    </row>
    <row r="2461" spans="1:30" s="20" customFormat="1" ht="36" customHeight="1" x14ac:dyDescent="0.25">
      <c r="A2461" s="2">
        <f t="shared" si="1401"/>
        <v>2378</v>
      </c>
      <c r="B2461" s="3">
        <f t="shared" si="1391"/>
        <v>2378</v>
      </c>
      <c r="C2461" s="19" t="s">
        <v>1467</v>
      </c>
      <c r="D2461" s="4">
        <f t="shared" si="1403"/>
        <v>38643827.5</v>
      </c>
      <c r="E2461" s="1">
        <f t="shared" si="1331"/>
        <v>20835077.500000004</v>
      </c>
      <c r="F2461" s="1">
        <f>804*5308.3</f>
        <v>4267873.2</v>
      </c>
      <c r="G2461" s="1">
        <f>1693*5308.3</f>
        <v>8986951.9000000004</v>
      </c>
      <c r="H2461" s="1">
        <f>390*5308.3</f>
        <v>2070237</v>
      </c>
      <c r="I2461" s="1">
        <f>571*5308.3</f>
        <v>3031039.3000000003</v>
      </c>
      <c r="J2461" s="1">
        <f>467*5308.3</f>
        <v>2478976.1</v>
      </c>
      <c r="K2461" s="1">
        <v>0</v>
      </c>
      <c r="L2461" s="2">
        <v>0</v>
      </c>
      <c r="M2461" s="1">
        <v>0</v>
      </c>
      <c r="N2461" s="1">
        <v>1317</v>
      </c>
      <c r="O2461" s="1">
        <f>N2461*7750</f>
        <v>10206750</v>
      </c>
      <c r="P2461" s="1">
        <v>0</v>
      </c>
      <c r="Q2461" s="1">
        <f t="shared" si="1347"/>
        <v>0</v>
      </c>
      <c r="R2461" s="1">
        <v>2000</v>
      </c>
      <c r="S2461" s="1">
        <f t="shared" si="1398"/>
        <v>7502000</v>
      </c>
      <c r="T2461" s="1">
        <v>0</v>
      </c>
      <c r="U2461" s="1">
        <v>50000</v>
      </c>
      <c r="V2461" s="1">
        <v>0</v>
      </c>
      <c r="W2461" s="1">
        <v>50000</v>
      </c>
      <c r="X2461" s="1">
        <v>0</v>
      </c>
      <c r="Y2461" s="1">
        <v>0</v>
      </c>
      <c r="Z2461" s="1">
        <v>0</v>
      </c>
      <c r="AA2461" s="1">
        <v>0</v>
      </c>
      <c r="AB2461" s="1">
        <v>0</v>
      </c>
      <c r="AC2461" s="1">
        <v>0</v>
      </c>
      <c r="AD2461" s="1">
        <v>0</v>
      </c>
    </row>
    <row r="2462" spans="1:30" s="20" customFormat="1" ht="36" customHeight="1" x14ac:dyDescent="0.25">
      <c r="A2462" s="2">
        <f t="shared" si="1401"/>
        <v>2379</v>
      </c>
      <c r="B2462" s="3">
        <f t="shared" si="1391"/>
        <v>2379</v>
      </c>
      <c r="C2462" s="19" t="s">
        <v>1468</v>
      </c>
      <c r="D2462" s="4">
        <f t="shared" si="1403"/>
        <v>38246165</v>
      </c>
      <c r="E2462" s="1">
        <f t="shared" si="1331"/>
        <v>20189415.000000004</v>
      </c>
      <c r="F2462" s="1">
        <f>804*5143.8</f>
        <v>4135615.2</v>
      </c>
      <c r="G2462" s="1">
        <f>1693*5143.8</f>
        <v>8708453.4000000004</v>
      </c>
      <c r="H2462" s="1">
        <f>390*5143.8</f>
        <v>2006082</v>
      </c>
      <c r="I2462" s="1">
        <f>571*5143.8</f>
        <v>2937109.8000000003</v>
      </c>
      <c r="J2462" s="1">
        <f>467*5143.8</f>
        <v>2402154.6</v>
      </c>
      <c r="K2462" s="1">
        <v>0</v>
      </c>
      <c r="L2462" s="2">
        <v>0</v>
      </c>
      <c r="M2462" s="1">
        <v>0</v>
      </c>
      <c r="N2462" s="1">
        <v>1349</v>
      </c>
      <c r="O2462" s="1">
        <f>N2462*7750</f>
        <v>10454750</v>
      </c>
      <c r="P2462" s="1">
        <v>0</v>
      </c>
      <c r="Q2462" s="1">
        <f t="shared" si="1347"/>
        <v>0</v>
      </c>
      <c r="R2462" s="1">
        <v>2000</v>
      </c>
      <c r="S2462" s="1">
        <f t="shared" si="1398"/>
        <v>7502000</v>
      </c>
      <c r="T2462" s="1">
        <v>0</v>
      </c>
      <c r="U2462" s="1">
        <v>50000</v>
      </c>
      <c r="V2462" s="1">
        <v>0</v>
      </c>
      <c r="W2462" s="1">
        <v>50000</v>
      </c>
      <c r="X2462" s="1">
        <v>0</v>
      </c>
      <c r="Y2462" s="1">
        <v>0</v>
      </c>
      <c r="Z2462" s="1">
        <v>0</v>
      </c>
      <c r="AA2462" s="1">
        <v>0</v>
      </c>
      <c r="AB2462" s="1">
        <v>0</v>
      </c>
      <c r="AC2462" s="1">
        <v>0</v>
      </c>
      <c r="AD2462" s="1">
        <v>0</v>
      </c>
    </row>
    <row r="2463" spans="1:30" s="20" customFormat="1" ht="36" customHeight="1" x14ac:dyDescent="0.25">
      <c r="A2463" s="2">
        <f t="shared" si="1401"/>
        <v>2380</v>
      </c>
      <c r="B2463" s="3">
        <f t="shared" si="1391"/>
        <v>2380</v>
      </c>
      <c r="C2463" s="19" t="s">
        <v>1469</v>
      </c>
      <c r="D2463" s="4">
        <f t="shared" si="1403"/>
        <v>14578427.5</v>
      </c>
      <c r="E2463" s="1">
        <f t="shared" si="1331"/>
        <v>6810267.4999999991</v>
      </c>
      <c r="F2463" s="1">
        <f>804*1735.1</f>
        <v>1395020.4</v>
      </c>
      <c r="G2463" s="1">
        <f>1693*1735.1</f>
        <v>2937524.3</v>
      </c>
      <c r="H2463" s="1">
        <f>390*1735.1</f>
        <v>676689</v>
      </c>
      <c r="I2463" s="1">
        <f>571*1735.1</f>
        <v>990742.1</v>
      </c>
      <c r="J2463" s="1">
        <f>467*1735.1</f>
        <v>810291.7</v>
      </c>
      <c r="K2463" s="1">
        <v>0</v>
      </c>
      <c r="L2463" s="2">
        <v>0</v>
      </c>
      <c r="M2463" s="1">
        <v>0</v>
      </c>
      <c r="N2463" s="1">
        <v>670</v>
      </c>
      <c r="O2463" s="1">
        <f>N2463*7750</f>
        <v>5192500</v>
      </c>
      <c r="P2463" s="1">
        <v>0</v>
      </c>
      <c r="Q2463" s="1">
        <f t="shared" si="1347"/>
        <v>0</v>
      </c>
      <c r="R2463" s="1">
        <v>660</v>
      </c>
      <c r="S2463" s="1">
        <f t="shared" ref="S2463:S2476" si="1404">R2463*3751</f>
        <v>2475660</v>
      </c>
      <c r="T2463" s="1">
        <v>0</v>
      </c>
      <c r="U2463" s="1">
        <v>50000</v>
      </c>
      <c r="V2463" s="1">
        <v>0</v>
      </c>
      <c r="W2463" s="1">
        <v>50000</v>
      </c>
      <c r="X2463" s="1">
        <v>0</v>
      </c>
      <c r="Y2463" s="1">
        <v>0</v>
      </c>
      <c r="Z2463" s="1">
        <v>0</v>
      </c>
      <c r="AA2463" s="1">
        <v>0</v>
      </c>
      <c r="AB2463" s="1">
        <v>0</v>
      </c>
      <c r="AC2463" s="1">
        <v>0</v>
      </c>
      <c r="AD2463" s="1">
        <v>0</v>
      </c>
    </row>
    <row r="2464" spans="1:30" s="20" customFormat="1" ht="36" customHeight="1" x14ac:dyDescent="0.25">
      <c r="A2464" s="2">
        <f t="shared" si="1401"/>
        <v>2381</v>
      </c>
      <c r="B2464" s="3">
        <f t="shared" si="1391"/>
        <v>2381</v>
      </c>
      <c r="C2464" s="19" t="s">
        <v>1470</v>
      </c>
      <c r="D2464" s="4">
        <f t="shared" si="1403"/>
        <v>35034355</v>
      </c>
      <c r="E2464" s="1">
        <f t="shared" ref="E2464:E2562" si="1405">SUM(F2464:K2464)</f>
        <v>24431555.000000004</v>
      </c>
      <c r="F2464" s="1">
        <f>804*6224.6</f>
        <v>5004578.4000000004</v>
      </c>
      <c r="G2464" s="1">
        <f>1693*6224.6</f>
        <v>10538247.800000001</v>
      </c>
      <c r="H2464" s="1">
        <f>390*6224.6</f>
        <v>2427594</v>
      </c>
      <c r="I2464" s="1">
        <f>571*6224.6</f>
        <v>3554246.6</v>
      </c>
      <c r="J2464" s="1">
        <f>467*6224.6</f>
        <v>2906888.2</v>
      </c>
      <c r="K2464" s="1">
        <v>0</v>
      </c>
      <c r="L2464" s="2">
        <v>0</v>
      </c>
      <c r="M2464" s="1">
        <v>0</v>
      </c>
      <c r="N2464" s="1">
        <v>0</v>
      </c>
      <c r="O2464" s="1">
        <v>0</v>
      </c>
      <c r="P2464" s="1">
        <v>0</v>
      </c>
      <c r="Q2464" s="1">
        <f t="shared" si="1347"/>
        <v>0</v>
      </c>
      <c r="R2464" s="1">
        <v>2800</v>
      </c>
      <c r="S2464" s="1">
        <f t="shared" si="1404"/>
        <v>10502800</v>
      </c>
      <c r="T2464" s="1">
        <v>0</v>
      </c>
      <c r="U2464" s="1">
        <v>50000</v>
      </c>
      <c r="V2464" s="1">
        <v>0</v>
      </c>
      <c r="W2464" s="1">
        <v>50000</v>
      </c>
      <c r="X2464" s="1">
        <v>0</v>
      </c>
      <c r="Y2464" s="1">
        <v>0</v>
      </c>
      <c r="Z2464" s="1">
        <v>0</v>
      </c>
      <c r="AA2464" s="1">
        <v>0</v>
      </c>
      <c r="AB2464" s="1">
        <v>0</v>
      </c>
      <c r="AC2464" s="1">
        <v>0</v>
      </c>
      <c r="AD2464" s="1">
        <v>0</v>
      </c>
    </row>
    <row r="2465" spans="1:30" s="20" customFormat="1" ht="36" customHeight="1" x14ac:dyDescent="0.25">
      <c r="A2465" s="2">
        <f t="shared" si="1401"/>
        <v>2382</v>
      </c>
      <c r="B2465" s="6">
        <f t="shared" ref="B2465:B2476" si="1406">A2465</f>
        <v>2382</v>
      </c>
      <c r="C2465" s="19" t="s">
        <v>1647</v>
      </c>
      <c r="D2465" s="4">
        <f t="shared" si="1403"/>
        <v>3700000</v>
      </c>
      <c r="E2465" s="1">
        <f t="shared" ref="E2465:E2476" si="1407">SUM(F2465:K2465)</f>
        <v>0</v>
      </c>
      <c r="F2465" s="1">
        <v>0</v>
      </c>
      <c r="G2465" s="1">
        <v>0</v>
      </c>
      <c r="H2465" s="1">
        <v>0</v>
      </c>
      <c r="I2465" s="1">
        <v>0</v>
      </c>
      <c r="J2465" s="1">
        <v>0</v>
      </c>
      <c r="K2465" s="1">
        <v>0</v>
      </c>
      <c r="L2465" s="2">
        <v>1</v>
      </c>
      <c r="M2465" s="1">
        <f t="shared" ref="M2465" si="1408">L2465*3500000</f>
        <v>3500000</v>
      </c>
      <c r="N2465" s="1">
        <v>0</v>
      </c>
      <c r="O2465" s="1">
        <v>0</v>
      </c>
      <c r="P2465" s="1">
        <v>0</v>
      </c>
      <c r="Q2465" s="1">
        <f>P2465*1400</f>
        <v>0</v>
      </c>
      <c r="R2465" s="1">
        <v>0</v>
      </c>
      <c r="S2465" s="1">
        <f t="shared" si="1404"/>
        <v>0</v>
      </c>
      <c r="T2465" s="1">
        <v>0</v>
      </c>
      <c r="U2465" s="1">
        <v>200000</v>
      </c>
      <c r="V2465" s="1">
        <v>0</v>
      </c>
      <c r="W2465" s="1">
        <v>0</v>
      </c>
      <c r="X2465" s="1">
        <v>0</v>
      </c>
      <c r="Y2465" s="1">
        <v>0</v>
      </c>
      <c r="Z2465" s="1">
        <v>0</v>
      </c>
      <c r="AA2465" s="1">
        <v>0</v>
      </c>
      <c r="AB2465" s="1">
        <v>0</v>
      </c>
      <c r="AC2465" s="1">
        <v>0</v>
      </c>
      <c r="AD2465" s="1">
        <v>0</v>
      </c>
    </row>
    <row r="2466" spans="1:30" s="20" customFormat="1" ht="36" customHeight="1" x14ac:dyDescent="0.25">
      <c r="A2466" s="2">
        <f t="shared" si="1401"/>
        <v>2383</v>
      </c>
      <c r="B2466" s="6">
        <f t="shared" si="1406"/>
        <v>2383</v>
      </c>
      <c r="C2466" s="19" t="s">
        <v>1945</v>
      </c>
      <c r="D2466" s="4">
        <f t="shared" si="1403"/>
        <v>14200000</v>
      </c>
      <c r="E2466" s="1">
        <f t="shared" si="1407"/>
        <v>0</v>
      </c>
      <c r="F2466" s="1">
        <v>0</v>
      </c>
      <c r="G2466" s="1">
        <v>0</v>
      </c>
      <c r="H2466" s="1">
        <v>0</v>
      </c>
      <c r="I2466" s="1">
        <v>0</v>
      </c>
      <c r="J2466" s="1">
        <v>0</v>
      </c>
      <c r="K2466" s="1">
        <v>0</v>
      </c>
      <c r="L2466" s="2">
        <v>4</v>
      </c>
      <c r="M2466" s="1">
        <f t="shared" ref="M2466" si="1409">L2466*3500000</f>
        <v>14000000</v>
      </c>
      <c r="N2466" s="1">
        <v>0</v>
      </c>
      <c r="O2466" s="1">
        <v>0</v>
      </c>
      <c r="P2466" s="1">
        <v>0</v>
      </c>
      <c r="Q2466" s="1">
        <f>P2466*1400</f>
        <v>0</v>
      </c>
      <c r="R2466" s="1">
        <v>0</v>
      </c>
      <c r="S2466" s="1">
        <f t="shared" si="1404"/>
        <v>0</v>
      </c>
      <c r="T2466" s="1">
        <v>0</v>
      </c>
      <c r="U2466" s="1">
        <v>200000</v>
      </c>
      <c r="V2466" s="1">
        <v>0</v>
      </c>
      <c r="W2466" s="1">
        <v>0</v>
      </c>
      <c r="X2466" s="1">
        <v>0</v>
      </c>
      <c r="Y2466" s="1">
        <v>0</v>
      </c>
      <c r="Z2466" s="1">
        <v>0</v>
      </c>
      <c r="AA2466" s="1">
        <v>0</v>
      </c>
      <c r="AB2466" s="1">
        <v>0</v>
      </c>
      <c r="AC2466" s="1">
        <v>0</v>
      </c>
      <c r="AD2466" s="1">
        <v>0</v>
      </c>
    </row>
    <row r="2467" spans="1:30" s="20" customFormat="1" ht="35.25" customHeight="1" x14ac:dyDescent="0.25">
      <c r="A2467" s="2">
        <f t="shared" si="1401"/>
        <v>2384</v>
      </c>
      <c r="B2467" s="6">
        <f t="shared" si="1406"/>
        <v>2384</v>
      </c>
      <c r="C2467" s="19" t="s">
        <v>1868</v>
      </c>
      <c r="D2467" s="8">
        <f t="shared" si="1403"/>
        <v>10700000</v>
      </c>
      <c r="E2467" s="1">
        <f t="shared" si="1407"/>
        <v>0</v>
      </c>
      <c r="F2467" s="1">
        <v>0</v>
      </c>
      <c r="G2467" s="1">
        <v>0</v>
      </c>
      <c r="H2467" s="1">
        <v>0</v>
      </c>
      <c r="I2467" s="1">
        <v>0</v>
      </c>
      <c r="J2467" s="1">
        <v>0</v>
      </c>
      <c r="K2467" s="1">
        <v>0</v>
      </c>
      <c r="L2467" s="2">
        <v>3</v>
      </c>
      <c r="M2467" s="1">
        <f>L2467*3500000</f>
        <v>10500000</v>
      </c>
      <c r="N2467" s="1">
        <v>0</v>
      </c>
      <c r="O2467" s="1">
        <v>0</v>
      </c>
      <c r="P2467" s="1">
        <v>0</v>
      </c>
      <c r="Q2467" s="1">
        <f>1400*P2467</f>
        <v>0</v>
      </c>
      <c r="R2467" s="1">
        <v>0</v>
      </c>
      <c r="S2467" s="1">
        <f t="shared" si="1404"/>
        <v>0</v>
      </c>
      <c r="T2467" s="1">
        <v>0</v>
      </c>
      <c r="U2467" s="1">
        <v>200000</v>
      </c>
      <c r="V2467" s="1">
        <v>0</v>
      </c>
      <c r="W2467" s="1">
        <v>0</v>
      </c>
      <c r="X2467" s="1">
        <v>0</v>
      </c>
      <c r="Y2467" s="1">
        <v>0</v>
      </c>
      <c r="Z2467" s="1">
        <v>0</v>
      </c>
      <c r="AA2467" s="1">
        <v>0</v>
      </c>
      <c r="AB2467" s="1">
        <v>0</v>
      </c>
      <c r="AC2467" s="1">
        <v>0</v>
      </c>
      <c r="AD2467" s="1">
        <v>0</v>
      </c>
    </row>
    <row r="2468" spans="1:30" s="20" customFormat="1" ht="36" customHeight="1" x14ac:dyDescent="0.25">
      <c r="A2468" s="2">
        <f t="shared" si="1401"/>
        <v>2385</v>
      </c>
      <c r="B2468" s="6">
        <f t="shared" si="1406"/>
        <v>2385</v>
      </c>
      <c r="C2468" s="19" t="s">
        <v>2156</v>
      </c>
      <c r="D2468" s="4">
        <f t="shared" si="1403"/>
        <v>9723554.9999999981</v>
      </c>
      <c r="E2468" s="1">
        <f t="shared" si="1407"/>
        <v>9673554.9999999981</v>
      </c>
      <c r="F2468" s="1">
        <f>804*2464.6</f>
        <v>1981538.4</v>
      </c>
      <c r="G2468" s="1">
        <f>1693*2464.6</f>
        <v>4172567.8</v>
      </c>
      <c r="H2468" s="1">
        <f>390*2464.6</f>
        <v>961194</v>
      </c>
      <c r="I2468" s="1">
        <f>571*2464.6</f>
        <v>1407286.5999999999</v>
      </c>
      <c r="J2468" s="1">
        <f>467*2464.6</f>
        <v>1150968.2</v>
      </c>
      <c r="K2468" s="1">
        <v>0</v>
      </c>
      <c r="L2468" s="2">
        <v>0</v>
      </c>
      <c r="M2468" s="1">
        <v>0</v>
      </c>
      <c r="N2468" s="1">
        <v>0</v>
      </c>
      <c r="O2468" s="1">
        <v>0</v>
      </c>
      <c r="P2468" s="1">
        <v>0</v>
      </c>
      <c r="Q2468" s="1">
        <f t="shared" ref="Q2468:Q2476" si="1410">P2468*1400</f>
        <v>0</v>
      </c>
      <c r="R2468" s="1">
        <v>0</v>
      </c>
      <c r="S2468" s="1">
        <f t="shared" si="1404"/>
        <v>0</v>
      </c>
      <c r="T2468" s="1">
        <v>0</v>
      </c>
      <c r="U2468" s="1">
        <v>50000</v>
      </c>
      <c r="V2468" s="1">
        <v>0</v>
      </c>
      <c r="W2468" s="1">
        <v>0</v>
      </c>
      <c r="X2468" s="1">
        <v>0</v>
      </c>
      <c r="Y2468" s="1">
        <v>0</v>
      </c>
      <c r="Z2468" s="1">
        <v>0</v>
      </c>
      <c r="AA2468" s="1">
        <v>0</v>
      </c>
      <c r="AB2468" s="1">
        <v>0</v>
      </c>
      <c r="AC2468" s="1">
        <v>0</v>
      </c>
      <c r="AD2468" s="1">
        <v>0</v>
      </c>
    </row>
    <row r="2469" spans="1:30" s="20" customFormat="1" ht="36" customHeight="1" x14ac:dyDescent="0.25">
      <c r="A2469" s="2">
        <f t="shared" si="1401"/>
        <v>2386</v>
      </c>
      <c r="B2469" s="6">
        <f t="shared" si="1406"/>
        <v>2386</v>
      </c>
      <c r="C2469" s="19" t="s">
        <v>2157</v>
      </c>
      <c r="D2469" s="4">
        <f t="shared" si="1403"/>
        <v>10990702</v>
      </c>
      <c r="E2469" s="1">
        <f t="shared" si="1407"/>
        <v>10940702</v>
      </c>
      <c r="F2469" s="1">
        <f>804*2787.44</f>
        <v>2241101.7600000002</v>
      </c>
      <c r="G2469" s="1">
        <f>1693*2787.44</f>
        <v>4719135.92</v>
      </c>
      <c r="H2469" s="1">
        <f>390*2787.44</f>
        <v>1087101.6000000001</v>
      </c>
      <c r="I2469" s="1">
        <f>571*2787.44</f>
        <v>1591628.24</v>
      </c>
      <c r="J2469" s="1">
        <f>467*2787.44</f>
        <v>1301734.48</v>
      </c>
      <c r="K2469" s="1">
        <v>0</v>
      </c>
      <c r="L2469" s="2">
        <v>0</v>
      </c>
      <c r="M2469" s="1">
        <v>0</v>
      </c>
      <c r="N2469" s="1">
        <v>0</v>
      </c>
      <c r="O2469" s="1">
        <v>0</v>
      </c>
      <c r="P2469" s="1">
        <v>0</v>
      </c>
      <c r="Q2469" s="1">
        <f t="shared" si="1410"/>
        <v>0</v>
      </c>
      <c r="R2469" s="1">
        <v>0</v>
      </c>
      <c r="S2469" s="1">
        <f t="shared" si="1404"/>
        <v>0</v>
      </c>
      <c r="T2469" s="1">
        <v>0</v>
      </c>
      <c r="U2469" s="1">
        <v>50000</v>
      </c>
      <c r="V2469" s="1">
        <v>0</v>
      </c>
      <c r="W2469" s="1">
        <v>0</v>
      </c>
      <c r="X2469" s="1">
        <v>0</v>
      </c>
      <c r="Y2469" s="1">
        <v>0</v>
      </c>
      <c r="Z2469" s="1">
        <v>0</v>
      </c>
      <c r="AA2469" s="1">
        <v>0</v>
      </c>
      <c r="AB2469" s="1">
        <v>0</v>
      </c>
      <c r="AC2469" s="1">
        <v>0</v>
      </c>
      <c r="AD2469" s="1">
        <v>0</v>
      </c>
    </row>
    <row r="2470" spans="1:30" s="20" customFormat="1" ht="36" customHeight="1" x14ac:dyDescent="0.25">
      <c r="A2470" s="2">
        <f t="shared" si="1401"/>
        <v>2387</v>
      </c>
      <c r="B2470" s="6">
        <f t="shared" si="1406"/>
        <v>2387</v>
      </c>
      <c r="C2470" s="19" t="s">
        <v>936</v>
      </c>
      <c r="D2470" s="4">
        <f t="shared" si="1403"/>
        <v>13127430.5</v>
      </c>
      <c r="E2470" s="1">
        <f t="shared" si="1407"/>
        <v>8201130.5000000009</v>
      </c>
      <c r="F2470" s="1">
        <f>804*2089.46</f>
        <v>1679925.84</v>
      </c>
      <c r="G2470" s="1">
        <f>1693*2089.46</f>
        <v>3537455.7800000003</v>
      </c>
      <c r="H2470" s="1">
        <f>390*2089.46</f>
        <v>814889.4</v>
      </c>
      <c r="I2470" s="1">
        <f>571*2089.46</f>
        <v>1193081.6599999999</v>
      </c>
      <c r="J2470" s="1">
        <f>467*2089.46</f>
        <v>975777.82000000007</v>
      </c>
      <c r="K2470" s="1">
        <v>0</v>
      </c>
      <c r="L2470" s="2">
        <v>0</v>
      </c>
      <c r="M2470" s="1">
        <v>0</v>
      </c>
      <c r="N2470" s="1">
        <v>0</v>
      </c>
      <c r="O2470" s="1">
        <v>0</v>
      </c>
      <c r="P2470" s="1">
        <v>0</v>
      </c>
      <c r="Q2470" s="1">
        <f t="shared" si="1410"/>
        <v>0</v>
      </c>
      <c r="R2470" s="1">
        <v>1300</v>
      </c>
      <c r="S2470" s="1">
        <f t="shared" si="1404"/>
        <v>4876300</v>
      </c>
      <c r="T2470" s="1">
        <v>0</v>
      </c>
      <c r="U2470" s="1">
        <v>50000</v>
      </c>
      <c r="V2470" s="1">
        <v>0</v>
      </c>
      <c r="W2470" s="1">
        <v>0</v>
      </c>
      <c r="X2470" s="1">
        <v>0</v>
      </c>
      <c r="Y2470" s="1">
        <v>0</v>
      </c>
      <c r="Z2470" s="1">
        <v>0</v>
      </c>
      <c r="AA2470" s="1">
        <v>0</v>
      </c>
      <c r="AB2470" s="1">
        <v>0</v>
      </c>
      <c r="AC2470" s="1">
        <v>0</v>
      </c>
      <c r="AD2470" s="1">
        <v>0</v>
      </c>
    </row>
    <row r="2471" spans="1:30" s="20" customFormat="1" ht="36" customHeight="1" x14ac:dyDescent="0.25">
      <c r="A2471" s="2">
        <f t="shared" si="1401"/>
        <v>2388</v>
      </c>
      <c r="B2471" s="6">
        <f t="shared" si="1406"/>
        <v>2388</v>
      </c>
      <c r="C2471" s="19" t="s">
        <v>938</v>
      </c>
      <c r="D2471" s="4">
        <f t="shared" si="1403"/>
        <v>20536116.75</v>
      </c>
      <c r="E2471" s="1">
        <f t="shared" si="1407"/>
        <v>15534796.75</v>
      </c>
      <c r="F2471" s="1">
        <f>804*3957.91</f>
        <v>3182159.6399999997</v>
      </c>
      <c r="G2471" s="1">
        <f>1693*3957.91</f>
        <v>6700741.6299999999</v>
      </c>
      <c r="H2471" s="1">
        <f>390*3957.91</f>
        <v>1543584.9</v>
      </c>
      <c r="I2471" s="1">
        <f>571*3957.91</f>
        <v>2259966.61</v>
      </c>
      <c r="J2471" s="1">
        <f>467*3957.91</f>
        <v>1848343.97</v>
      </c>
      <c r="K2471" s="1">
        <v>0</v>
      </c>
      <c r="L2471" s="2">
        <v>0</v>
      </c>
      <c r="M2471" s="1">
        <v>0</v>
      </c>
      <c r="N2471" s="1">
        <v>0</v>
      </c>
      <c r="O2471" s="1">
        <v>0</v>
      </c>
      <c r="P2471" s="1">
        <v>0</v>
      </c>
      <c r="Q2471" s="1">
        <f t="shared" si="1410"/>
        <v>0</v>
      </c>
      <c r="R2471" s="1">
        <v>1320</v>
      </c>
      <c r="S2471" s="1">
        <f t="shared" si="1404"/>
        <v>4951320</v>
      </c>
      <c r="T2471" s="1">
        <v>0</v>
      </c>
      <c r="U2471" s="1">
        <v>50000</v>
      </c>
      <c r="V2471" s="1">
        <v>0</v>
      </c>
      <c r="W2471" s="1">
        <v>0</v>
      </c>
      <c r="X2471" s="1">
        <v>0</v>
      </c>
      <c r="Y2471" s="1">
        <v>0</v>
      </c>
      <c r="Z2471" s="1">
        <v>0</v>
      </c>
      <c r="AA2471" s="1">
        <v>0</v>
      </c>
      <c r="AB2471" s="1">
        <v>0</v>
      </c>
      <c r="AC2471" s="1">
        <v>0</v>
      </c>
      <c r="AD2471" s="1">
        <v>0</v>
      </c>
    </row>
    <row r="2472" spans="1:30" s="20" customFormat="1" ht="36" customHeight="1" x14ac:dyDescent="0.25">
      <c r="A2472" s="2">
        <f t="shared" si="1401"/>
        <v>2389</v>
      </c>
      <c r="B2472" s="6">
        <f t="shared" si="1406"/>
        <v>2389</v>
      </c>
      <c r="C2472" s="19" t="s">
        <v>941</v>
      </c>
      <c r="D2472" s="4">
        <f t="shared" si="1403"/>
        <v>21037337.140000001</v>
      </c>
      <c r="E2472" s="1">
        <f t="shared" si="1407"/>
        <v>11314417.140000001</v>
      </c>
      <c r="F2472" s="1">
        <f>804*3373.41</f>
        <v>2712221.6399999997</v>
      </c>
      <c r="G2472" s="1">
        <f>1693*3373.41</f>
        <v>5711183.1299999999</v>
      </c>
      <c r="H2472" s="1">
        <f>390*3373.41</f>
        <v>1315629.8999999999</v>
      </c>
      <c r="I2472" s="1">
        <v>0</v>
      </c>
      <c r="J2472" s="1">
        <f>467*3373.41</f>
        <v>1575382.47</v>
      </c>
      <c r="K2472" s="1">
        <v>0</v>
      </c>
      <c r="L2472" s="2">
        <v>0</v>
      </c>
      <c r="M2472" s="1">
        <v>0</v>
      </c>
      <c r="N2472" s="1">
        <v>890</v>
      </c>
      <c r="O2472" s="1">
        <f>N2472*4968</f>
        <v>4421520</v>
      </c>
      <c r="P2472" s="1">
        <v>0</v>
      </c>
      <c r="Q2472" s="1">
        <f t="shared" si="1410"/>
        <v>0</v>
      </c>
      <c r="R2472" s="1">
        <v>1400</v>
      </c>
      <c r="S2472" s="1">
        <f t="shared" si="1404"/>
        <v>5251400</v>
      </c>
      <c r="T2472" s="1">
        <v>0</v>
      </c>
      <c r="U2472" s="1">
        <v>50000</v>
      </c>
      <c r="V2472" s="1">
        <v>0</v>
      </c>
      <c r="W2472" s="1">
        <v>0</v>
      </c>
      <c r="X2472" s="1">
        <v>0</v>
      </c>
      <c r="Y2472" s="1">
        <v>0</v>
      </c>
      <c r="Z2472" s="1">
        <v>0</v>
      </c>
      <c r="AA2472" s="1">
        <v>0</v>
      </c>
      <c r="AB2472" s="1">
        <v>0</v>
      </c>
      <c r="AC2472" s="1">
        <v>0</v>
      </c>
      <c r="AD2472" s="1">
        <v>0</v>
      </c>
    </row>
    <row r="2473" spans="1:30" s="20" customFormat="1" ht="36" customHeight="1" x14ac:dyDescent="0.25">
      <c r="A2473" s="2">
        <f t="shared" si="1401"/>
        <v>2390</v>
      </c>
      <c r="B2473" s="6">
        <f t="shared" si="1406"/>
        <v>2390</v>
      </c>
      <c r="C2473" s="19" t="s">
        <v>947</v>
      </c>
      <c r="D2473" s="4">
        <f t="shared" si="1403"/>
        <v>11657631.75</v>
      </c>
      <c r="E2473" s="1">
        <f t="shared" si="1407"/>
        <v>8531811.75</v>
      </c>
      <c r="F2473" s="1">
        <f>804*2173.71</f>
        <v>1747662.84</v>
      </c>
      <c r="G2473" s="1">
        <f>1693*2173.71</f>
        <v>3680091.0300000003</v>
      </c>
      <c r="H2473" s="1">
        <f>390*2173.71</f>
        <v>847746.9</v>
      </c>
      <c r="I2473" s="1">
        <f>571*2173.71</f>
        <v>1241188.4099999999</v>
      </c>
      <c r="J2473" s="1">
        <f>467*2173.71</f>
        <v>1015122.5700000001</v>
      </c>
      <c r="K2473" s="1">
        <v>0</v>
      </c>
      <c r="L2473" s="2">
        <v>0</v>
      </c>
      <c r="M2473" s="1">
        <v>0</v>
      </c>
      <c r="N2473" s="1">
        <v>0</v>
      </c>
      <c r="O2473" s="1">
        <v>0</v>
      </c>
      <c r="P2473" s="1">
        <v>0</v>
      </c>
      <c r="Q2473" s="1">
        <f t="shared" si="1410"/>
        <v>0</v>
      </c>
      <c r="R2473" s="1">
        <v>820</v>
      </c>
      <c r="S2473" s="1">
        <f t="shared" si="1404"/>
        <v>3075820</v>
      </c>
      <c r="T2473" s="1">
        <v>0</v>
      </c>
      <c r="U2473" s="1">
        <v>50000</v>
      </c>
      <c r="V2473" s="1">
        <v>0</v>
      </c>
      <c r="W2473" s="1">
        <v>0</v>
      </c>
      <c r="X2473" s="1">
        <v>0</v>
      </c>
      <c r="Y2473" s="1">
        <v>0</v>
      </c>
      <c r="Z2473" s="1">
        <v>0</v>
      </c>
      <c r="AA2473" s="1">
        <v>0</v>
      </c>
      <c r="AB2473" s="1">
        <v>0</v>
      </c>
      <c r="AC2473" s="1">
        <v>0</v>
      </c>
      <c r="AD2473" s="1">
        <v>0</v>
      </c>
    </row>
    <row r="2474" spans="1:30" s="20" customFormat="1" ht="36" customHeight="1" x14ac:dyDescent="0.25">
      <c r="A2474" s="2">
        <f t="shared" si="1401"/>
        <v>2391</v>
      </c>
      <c r="B2474" s="6">
        <f t="shared" si="1406"/>
        <v>2391</v>
      </c>
      <c r="C2474" s="19" t="s">
        <v>950</v>
      </c>
      <c r="D2474" s="4">
        <f t="shared" si="1403"/>
        <v>25878926.5</v>
      </c>
      <c r="E2474" s="1">
        <f t="shared" si="1407"/>
        <v>17201626.5</v>
      </c>
      <c r="F2474" s="1">
        <f>804*4382.58</f>
        <v>3523594.32</v>
      </c>
      <c r="G2474" s="1">
        <f>1693*4382.58</f>
        <v>7419707.9399999995</v>
      </c>
      <c r="H2474" s="1">
        <f>390*4382.58</f>
        <v>1709206.2</v>
      </c>
      <c r="I2474" s="1">
        <f>571*4382.58</f>
        <v>2502453.1800000002</v>
      </c>
      <c r="J2474" s="1">
        <f>467*4382.58</f>
        <v>2046664.8599999999</v>
      </c>
      <c r="K2474" s="1">
        <v>0</v>
      </c>
      <c r="L2474" s="2">
        <v>0</v>
      </c>
      <c r="M2474" s="1">
        <v>0</v>
      </c>
      <c r="N2474" s="1">
        <v>0</v>
      </c>
      <c r="O2474" s="1">
        <v>0</v>
      </c>
      <c r="P2474" s="1">
        <v>0</v>
      </c>
      <c r="Q2474" s="1">
        <f t="shared" si="1410"/>
        <v>0</v>
      </c>
      <c r="R2474" s="1">
        <v>2300</v>
      </c>
      <c r="S2474" s="1">
        <f t="shared" si="1404"/>
        <v>8627300</v>
      </c>
      <c r="T2474" s="1">
        <v>0</v>
      </c>
      <c r="U2474" s="1">
        <v>50000</v>
      </c>
      <c r="V2474" s="1">
        <v>0</v>
      </c>
      <c r="W2474" s="1">
        <v>0</v>
      </c>
      <c r="X2474" s="1">
        <v>0</v>
      </c>
      <c r="Y2474" s="1">
        <v>0</v>
      </c>
      <c r="Z2474" s="1">
        <v>0</v>
      </c>
      <c r="AA2474" s="1">
        <v>0</v>
      </c>
      <c r="AB2474" s="1">
        <v>0</v>
      </c>
      <c r="AC2474" s="1">
        <v>0</v>
      </c>
      <c r="AD2474" s="1">
        <v>0</v>
      </c>
    </row>
    <row r="2475" spans="1:30" s="20" customFormat="1" ht="36" customHeight="1" x14ac:dyDescent="0.25">
      <c r="A2475" s="2">
        <f t="shared" si="1401"/>
        <v>2392</v>
      </c>
      <c r="B2475" s="6">
        <f t="shared" si="1406"/>
        <v>2392</v>
      </c>
      <c r="C2475" s="19" t="s">
        <v>951</v>
      </c>
      <c r="D2475" s="4">
        <f t="shared" si="1403"/>
        <v>15788818.5</v>
      </c>
      <c r="E2475" s="1">
        <f t="shared" si="1407"/>
        <v>9737218.5</v>
      </c>
      <c r="F2475" s="1">
        <f>804*2480.82</f>
        <v>1994579.28</v>
      </c>
      <c r="G2475" s="1">
        <f>1693*2480.82</f>
        <v>4200028.2600000007</v>
      </c>
      <c r="H2475" s="1">
        <f>390*2480.82</f>
        <v>967519.8</v>
      </c>
      <c r="I2475" s="1">
        <f>571*2480.82</f>
        <v>1416548.2200000002</v>
      </c>
      <c r="J2475" s="1">
        <f>467*2480.82</f>
        <v>1158542.9400000002</v>
      </c>
      <c r="K2475" s="1">
        <v>0</v>
      </c>
      <c r="L2475" s="2">
        <v>0</v>
      </c>
      <c r="M2475" s="1">
        <v>0</v>
      </c>
      <c r="N2475" s="1">
        <v>0</v>
      </c>
      <c r="O2475" s="1">
        <v>0</v>
      </c>
      <c r="P2475" s="1">
        <v>0</v>
      </c>
      <c r="Q2475" s="1">
        <f t="shared" si="1410"/>
        <v>0</v>
      </c>
      <c r="R2475" s="1">
        <v>1600</v>
      </c>
      <c r="S2475" s="1">
        <f t="shared" si="1404"/>
        <v>6001600</v>
      </c>
      <c r="T2475" s="1">
        <v>0</v>
      </c>
      <c r="U2475" s="1">
        <v>50000</v>
      </c>
      <c r="V2475" s="1">
        <v>0</v>
      </c>
      <c r="W2475" s="1">
        <v>0</v>
      </c>
      <c r="X2475" s="1">
        <v>0</v>
      </c>
      <c r="Y2475" s="1">
        <v>0</v>
      </c>
      <c r="Z2475" s="1">
        <v>0</v>
      </c>
      <c r="AA2475" s="1">
        <v>0</v>
      </c>
      <c r="AB2475" s="1">
        <v>0</v>
      </c>
      <c r="AC2475" s="1">
        <v>0</v>
      </c>
      <c r="AD2475" s="1">
        <v>0</v>
      </c>
    </row>
    <row r="2476" spans="1:30" s="20" customFormat="1" ht="36" customHeight="1" x14ac:dyDescent="0.25">
      <c r="A2476" s="2">
        <f t="shared" si="1401"/>
        <v>2393</v>
      </c>
      <c r="B2476" s="6">
        <f t="shared" si="1406"/>
        <v>2393</v>
      </c>
      <c r="C2476" s="30" t="s">
        <v>2576</v>
      </c>
      <c r="D2476" s="4">
        <f t="shared" si="1403"/>
        <v>22453275.619999997</v>
      </c>
      <c r="E2476" s="1">
        <f t="shared" si="1407"/>
        <v>17902075.619999997</v>
      </c>
      <c r="F2476" s="1">
        <f>804*5337.53</f>
        <v>4291374.12</v>
      </c>
      <c r="G2476" s="1">
        <f>1693*5337.53</f>
        <v>9036438.2899999991</v>
      </c>
      <c r="H2476" s="1">
        <f>390*5337.53</f>
        <v>2081636.7</v>
      </c>
      <c r="I2476" s="1">
        <v>0</v>
      </c>
      <c r="J2476" s="1">
        <f>467*5337.53</f>
        <v>2492626.5099999998</v>
      </c>
      <c r="K2476" s="1">
        <v>0</v>
      </c>
      <c r="L2476" s="2">
        <v>0</v>
      </c>
      <c r="M2476" s="1">
        <v>0</v>
      </c>
      <c r="N2476" s="1">
        <v>0</v>
      </c>
      <c r="O2476" s="1">
        <v>0</v>
      </c>
      <c r="P2476" s="1">
        <v>0</v>
      </c>
      <c r="Q2476" s="1">
        <f t="shared" si="1410"/>
        <v>0</v>
      </c>
      <c r="R2476" s="1">
        <v>1200</v>
      </c>
      <c r="S2476" s="1">
        <f t="shared" si="1404"/>
        <v>4501200</v>
      </c>
      <c r="T2476" s="1">
        <v>0</v>
      </c>
      <c r="U2476" s="1">
        <v>50000</v>
      </c>
      <c r="V2476" s="1">
        <v>0</v>
      </c>
      <c r="W2476" s="1">
        <v>0</v>
      </c>
      <c r="X2476" s="1">
        <v>0</v>
      </c>
      <c r="Y2476" s="1">
        <v>0</v>
      </c>
      <c r="Z2476" s="1">
        <v>0</v>
      </c>
      <c r="AA2476" s="1">
        <v>0</v>
      </c>
      <c r="AB2476" s="1">
        <v>0</v>
      </c>
      <c r="AC2476" s="1">
        <v>0</v>
      </c>
      <c r="AD2476" s="1">
        <v>0</v>
      </c>
    </row>
    <row r="2477" spans="1:30" s="20" customFormat="1" ht="36" customHeight="1" x14ac:dyDescent="0.25">
      <c r="A2477" s="2">
        <f t="shared" si="1401"/>
        <v>2394</v>
      </c>
      <c r="B2477" s="3">
        <f t="shared" si="1391"/>
        <v>2394</v>
      </c>
      <c r="C2477" s="30" t="s">
        <v>2577</v>
      </c>
      <c r="D2477" s="4">
        <f t="shared" si="1403"/>
        <v>19993922</v>
      </c>
      <c r="E2477" s="1">
        <f t="shared" si="1405"/>
        <v>11460372</v>
      </c>
      <c r="F2477" s="1">
        <f>804*2919.84</f>
        <v>2347551.3600000003</v>
      </c>
      <c r="G2477" s="1">
        <f>1693*2919.84</f>
        <v>4943289.12</v>
      </c>
      <c r="H2477" s="1">
        <f>390*2919.84</f>
        <v>1138737.6000000001</v>
      </c>
      <c r="I2477" s="1">
        <f>571*2919.84</f>
        <v>1667228.6400000001</v>
      </c>
      <c r="J2477" s="1">
        <f>467*2919.84</f>
        <v>1363565.28</v>
      </c>
      <c r="K2477" s="1">
        <v>0</v>
      </c>
      <c r="L2477" s="2">
        <v>0</v>
      </c>
      <c r="M2477" s="1">
        <v>0</v>
      </c>
      <c r="N2477" s="1">
        <v>580</v>
      </c>
      <c r="O2477" s="1">
        <f>N2477*7750</f>
        <v>4495000</v>
      </c>
      <c r="P2477" s="1">
        <v>0</v>
      </c>
      <c r="Q2477" s="1">
        <f t="shared" si="1347"/>
        <v>0</v>
      </c>
      <c r="R2477" s="1">
        <v>1050</v>
      </c>
      <c r="S2477" s="1">
        <f t="shared" ref="S2477:S2528" si="1411">R2477*3751</f>
        <v>3938550</v>
      </c>
      <c r="T2477" s="1">
        <v>0</v>
      </c>
      <c r="U2477" s="1">
        <v>50000</v>
      </c>
      <c r="V2477" s="1">
        <v>0</v>
      </c>
      <c r="W2477" s="1">
        <v>50000</v>
      </c>
      <c r="X2477" s="1">
        <v>0</v>
      </c>
      <c r="Y2477" s="1">
        <v>0</v>
      </c>
      <c r="Z2477" s="1">
        <v>0</v>
      </c>
      <c r="AA2477" s="1">
        <v>0</v>
      </c>
      <c r="AB2477" s="1">
        <v>0</v>
      </c>
      <c r="AC2477" s="1">
        <v>0</v>
      </c>
      <c r="AD2477" s="1">
        <v>0</v>
      </c>
    </row>
    <row r="2478" spans="1:30" s="20" customFormat="1" ht="36" customHeight="1" x14ac:dyDescent="0.25">
      <c r="A2478" s="2">
        <f t="shared" si="1401"/>
        <v>2395</v>
      </c>
      <c r="B2478" s="3">
        <f t="shared" si="1391"/>
        <v>2395</v>
      </c>
      <c r="C2478" s="19" t="s">
        <v>1471</v>
      </c>
      <c r="D2478" s="4">
        <f t="shared" si="1403"/>
        <v>22332267.5</v>
      </c>
      <c r="E2478" s="1">
        <f t="shared" si="1405"/>
        <v>11638017.499999998</v>
      </c>
      <c r="F2478" s="1">
        <f>804*2965.1</f>
        <v>2383940.4</v>
      </c>
      <c r="G2478" s="1">
        <f>1693*2965.1</f>
        <v>5019914.3</v>
      </c>
      <c r="H2478" s="1">
        <f>390*2965.1</f>
        <v>1156389</v>
      </c>
      <c r="I2478" s="1">
        <f>571*2965.1</f>
        <v>1693072.0999999999</v>
      </c>
      <c r="J2478" s="1">
        <f>467*2965.1</f>
        <v>1384701.7</v>
      </c>
      <c r="K2478" s="1">
        <v>0</v>
      </c>
      <c r="L2478" s="2">
        <v>0</v>
      </c>
      <c r="M2478" s="1">
        <v>0</v>
      </c>
      <c r="N2478" s="1">
        <v>641</v>
      </c>
      <c r="O2478" s="1">
        <f>N2478*7750</f>
        <v>4967750</v>
      </c>
      <c r="P2478" s="1">
        <v>0</v>
      </c>
      <c r="Q2478" s="1">
        <f t="shared" si="1347"/>
        <v>0</v>
      </c>
      <c r="R2478" s="1">
        <v>1500</v>
      </c>
      <c r="S2478" s="1">
        <f t="shared" si="1411"/>
        <v>5626500</v>
      </c>
      <c r="T2478" s="1">
        <v>0</v>
      </c>
      <c r="U2478" s="1">
        <v>50000</v>
      </c>
      <c r="V2478" s="1">
        <v>0</v>
      </c>
      <c r="W2478" s="1">
        <v>50000</v>
      </c>
      <c r="X2478" s="1">
        <v>0</v>
      </c>
      <c r="Y2478" s="1">
        <v>0</v>
      </c>
      <c r="Z2478" s="1">
        <v>0</v>
      </c>
      <c r="AA2478" s="1">
        <v>0</v>
      </c>
      <c r="AB2478" s="1">
        <v>0</v>
      </c>
      <c r="AC2478" s="1">
        <v>0</v>
      </c>
      <c r="AD2478" s="1">
        <v>0</v>
      </c>
    </row>
    <row r="2479" spans="1:30" s="20" customFormat="1" ht="36" customHeight="1" x14ac:dyDescent="0.25">
      <c r="A2479" s="2">
        <f t="shared" si="1401"/>
        <v>2396</v>
      </c>
      <c r="B2479" s="2">
        <f t="shared" si="1391"/>
        <v>2396</v>
      </c>
      <c r="C2479" s="19" t="s">
        <v>2578</v>
      </c>
      <c r="D2479" s="39">
        <f t="shared" si="1403"/>
        <v>30218978.5</v>
      </c>
      <c r="E2479" s="1">
        <f t="shared" si="1405"/>
        <v>18282414.5</v>
      </c>
      <c r="F2479" s="1">
        <f>804*4657.94</f>
        <v>3744983.76</v>
      </c>
      <c r="G2479" s="1">
        <f>1693*4657.94</f>
        <v>7885892.419999999</v>
      </c>
      <c r="H2479" s="1">
        <f>390*4657.94</f>
        <v>1816596.5999999999</v>
      </c>
      <c r="I2479" s="1">
        <f>571*4657.94</f>
        <v>2659683.7399999998</v>
      </c>
      <c r="J2479" s="1">
        <f>467*4657.94</f>
        <v>2175257.98</v>
      </c>
      <c r="K2479" s="1">
        <v>0</v>
      </c>
      <c r="L2479" s="2">
        <v>0</v>
      </c>
      <c r="M2479" s="1">
        <v>0</v>
      </c>
      <c r="N2479" s="1">
        <v>948</v>
      </c>
      <c r="O2479" s="1">
        <f>N2479*4968</f>
        <v>4709664</v>
      </c>
      <c r="P2479" s="1">
        <v>0</v>
      </c>
      <c r="Q2479" s="1">
        <f>P2479*1400</f>
        <v>0</v>
      </c>
      <c r="R2479" s="1">
        <v>1900</v>
      </c>
      <c r="S2479" s="1">
        <f t="shared" si="1411"/>
        <v>7126900</v>
      </c>
      <c r="T2479" s="1">
        <v>0</v>
      </c>
      <c r="U2479" s="1">
        <v>50000</v>
      </c>
      <c r="V2479" s="1">
        <v>0</v>
      </c>
      <c r="W2479" s="1">
        <v>50000</v>
      </c>
      <c r="X2479" s="1">
        <v>0</v>
      </c>
      <c r="Y2479" s="1">
        <v>0</v>
      </c>
      <c r="Z2479" s="1">
        <v>0</v>
      </c>
      <c r="AA2479" s="1">
        <v>0</v>
      </c>
      <c r="AB2479" s="1">
        <v>0</v>
      </c>
      <c r="AC2479" s="1">
        <v>0</v>
      </c>
      <c r="AD2479" s="1">
        <v>0</v>
      </c>
    </row>
    <row r="2480" spans="1:30" s="20" customFormat="1" ht="36" customHeight="1" x14ac:dyDescent="0.25">
      <c r="A2480" s="2">
        <f t="shared" si="1401"/>
        <v>2397</v>
      </c>
      <c r="B2480" s="2">
        <f t="shared" si="1391"/>
        <v>2397</v>
      </c>
      <c r="C2480" s="19" t="s">
        <v>2579</v>
      </c>
      <c r="D2480" s="39">
        <f t="shared" si="1403"/>
        <v>34872245</v>
      </c>
      <c r="E2480" s="1">
        <f t="shared" si="1405"/>
        <v>27645344.999999996</v>
      </c>
      <c r="F2480" s="1">
        <f>804*7043.4</f>
        <v>5662893.5999999996</v>
      </c>
      <c r="G2480" s="1">
        <f>1693*7043.4</f>
        <v>11924476.199999999</v>
      </c>
      <c r="H2480" s="1">
        <f>390*7043.4</f>
        <v>2746926</v>
      </c>
      <c r="I2480" s="1">
        <f>571*7043.4</f>
        <v>4021781.4</v>
      </c>
      <c r="J2480" s="1">
        <f>467*7043.4</f>
        <v>3289267.8</v>
      </c>
      <c r="K2480" s="1">
        <v>0</v>
      </c>
      <c r="L2480" s="2">
        <v>0</v>
      </c>
      <c r="M2480" s="1">
        <v>0</v>
      </c>
      <c r="N2480" s="1">
        <v>0</v>
      </c>
      <c r="O2480" s="1">
        <v>0</v>
      </c>
      <c r="P2480" s="1">
        <v>0</v>
      </c>
      <c r="Q2480" s="1">
        <f t="shared" si="1347"/>
        <v>0</v>
      </c>
      <c r="R2480" s="1">
        <v>1900</v>
      </c>
      <c r="S2480" s="1">
        <f t="shared" si="1411"/>
        <v>7126900</v>
      </c>
      <c r="T2480" s="1">
        <v>0</v>
      </c>
      <c r="U2480" s="1">
        <v>50000</v>
      </c>
      <c r="V2480" s="1">
        <v>0</v>
      </c>
      <c r="W2480" s="1">
        <v>50000</v>
      </c>
      <c r="X2480" s="1">
        <v>0</v>
      </c>
      <c r="Y2480" s="1">
        <v>0</v>
      </c>
      <c r="Z2480" s="1">
        <v>0</v>
      </c>
      <c r="AA2480" s="1">
        <v>0</v>
      </c>
      <c r="AB2480" s="1">
        <v>0</v>
      </c>
      <c r="AC2480" s="1">
        <v>0</v>
      </c>
      <c r="AD2480" s="1">
        <v>0</v>
      </c>
    </row>
    <row r="2481" spans="1:30" s="20" customFormat="1" ht="36" customHeight="1" x14ac:dyDescent="0.25">
      <c r="A2481" s="2">
        <f t="shared" si="1401"/>
        <v>2398</v>
      </c>
      <c r="B2481" s="3">
        <f t="shared" si="1391"/>
        <v>2398</v>
      </c>
      <c r="C2481" s="19" t="s">
        <v>2580</v>
      </c>
      <c r="D2481" s="4">
        <f t="shared" si="1403"/>
        <v>20450617.5</v>
      </c>
      <c r="E2481" s="1">
        <f t="shared" si="1405"/>
        <v>13223717.499999998</v>
      </c>
      <c r="F2481" s="1">
        <f>804*3369.1</f>
        <v>2708756.4</v>
      </c>
      <c r="G2481" s="1">
        <f>1693*3369.1</f>
        <v>5703886.2999999998</v>
      </c>
      <c r="H2481" s="1">
        <f>390*3369.1</f>
        <v>1313949</v>
      </c>
      <c r="I2481" s="1">
        <f>571*3369.1</f>
        <v>1923756.0999999999</v>
      </c>
      <c r="J2481" s="1">
        <f>467*3369.1</f>
        <v>1573369.7</v>
      </c>
      <c r="K2481" s="1">
        <v>0</v>
      </c>
      <c r="L2481" s="2">
        <v>0</v>
      </c>
      <c r="M2481" s="1">
        <v>0</v>
      </c>
      <c r="N2481" s="1">
        <v>0</v>
      </c>
      <c r="O2481" s="1">
        <v>0</v>
      </c>
      <c r="P2481" s="1">
        <v>0</v>
      </c>
      <c r="Q2481" s="1">
        <f t="shared" ref="Q2481:Q2528" si="1412">P2481*1400</f>
        <v>0</v>
      </c>
      <c r="R2481" s="1">
        <v>1900</v>
      </c>
      <c r="S2481" s="1">
        <f t="shared" si="1411"/>
        <v>7126900</v>
      </c>
      <c r="T2481" s="1">
        <v>0</v>
      </c>
      <c r="U2481" s="1">
        <v>50000</v>
      </c>
      <c r="V2481" s="1">
        <v>0</v>
      </c>
      <c r="W2481" s="1">
        <v>50000</v>
      </c>
      <c r="X2481" s="1">
        <v>0</v>
      </c>
      <c r="Y2481" s="1">
        <v>0</v>
      </c>
      <c r="Z2481" s="1">
        <v>0</v>
      </c>
      <c r="AA2481" s="1">
        <v>0</v>
      </c>
      <c r="AB2481" s="1">
        <v>0</v>
      </c>
      <c r="AC2481" s="1">
        <v>0</v>
      </c>
      <c r="AD2481" s="1">
        <v>0</v>
      </c>
    </row>
    <row r="2482" spans="1:30" s="20" customFormat="1" ht="36" customHeight="1" x14ac:dyDescent="0.25">
      <c r="A2482" s="2">
        <f t="shared" si="1401"/>
        <v>2399</v>
      </c>
      <c r="B2482" s="3">
        <f t="shared" si="1391"/>
        <v>2399</v>
      </c>
      <c r="C2482" s="19" t="s">
        <v>2581</v>
      </c>
      <c r="D2482" s="4">
        <f t="shared" si="1403"/>
        <v>31126877.749999996</v>
      </c>
      <c r="E2482" s="1">
        <f t="shared" si="1405"/>
        <v>18554377.749999996</v>
      </c>
      <c r="F2482" s="1">
        <f>804*4727.23</f>
        <v>3800692.9199999995</v>
      </c>
      <c r="G2482" s="1">
        <f>1693*4727.23</f>
        <v>8003200.3899999997</v>
      </c>
      <c r="H2482" s="1">
        <f>390*4727.23</f>
        <v>1843619.6999999997</v>
      </c>
      <c r="I2482" s="1">
        <f>571*4727.23</f>
        <v>2699248.3299999996</v>
      </c>
      <c r="J2482" s="1">
        <f>467*4727.23</f>
        <v>2207616.4099999997</v>
      </c>
      <c r="K2482" s="1">
        <v>0</v>
      </c>
      <c r="L2482" s="2">
        <v>0</v>
      </c>
      <c r="M2482" s="1">
        <v>0</v>
      </c>
      <c r="N2482" s="1">
        <v>925</v>
      </c>
      <c r="O2482" s="1">
        <f>N2482*4968</f>
        <v>4595400</v>
      </c>
      <c r="P2482" s="1">
        <v>0</v>
      </c>
      <c r="Q2482" s="1">
        <f t="shared" si="1412"/>
        <v>0</v>
      </c>
      <c r="R2482" s="1">
        <v>2100</v>
      </c>
      <c r="S2482" s="1">
        <f t="shared" si="1411"/>
        <v>7877100</v>
      </c>
      <c r="T2482" s="1">
        <v>0</v>
      </c>
      <c r="U2482" s="1">
        <v>50000</v>
      </c>
      <c r="V2482" s="1">
        <v>0</v>
      </c>
      <c r="W2482" s="1">
        <v>50000</v>
      </c>
      <c r="X2482" s="1">
        <v>0</v>
      </c>
      <c r="Y2482" s="1">
        <v>0</v>
      </c>
      <c r="Z2482" s="1">
        <v>0</v>
      </c>
      <c r="AA2482" s="1">
        <v>0</v>
      </c>
      <c r="AB2482" s="1">
        <v>0</v>
      </c>
      <c r="AC2482" s="1">
        <v>0</v>
      </c>
      <c r="AD2482" s="1">
        <v>0</v>
      </c>
    </row>
    <row r="2483" spans="1:30" s="20" customFormat="1" ht="36" customHeight="1" x14ac:dyDescent="0.25">
      <c r="A2483" s="2">
        <f t="shared" si="1401"/>
        <v>2400</v>
      </c>
      <c r="B2483" s="3">
        <f t="shared" si="1391"/>
        <v>2400</v>
      </c>
      <c r="C2483" s="19" t="s">
        <v>2582</v>
      </c>
      <c r="D2483" s="4">
        <f t="shared" si="1403"/>
        <v>26932699.500000004</v>
      </c>
      <c r="E2483" s="1">
        <f t="shared" si="1405"/>
        <v>17341827.500000004</v>
      </c>
      <c r="F2483" s="1">
        <f>804*4418.3</f>
        <v>3552313.2</v>
      </c>
      <c r="G2483" s="1">
        <f>1693*4418.3</f>
        <v>7480181.9000000004</v>
      </c>
      <c r="H2483" s="1">
        <f>390*4418.3</f>
        <v>1723137</v>
      </c>
      <c r="I2483" s="1">
        <f>571*4418.3</f>
        <v>2522849.3000000003</v>
      </c>
      <c r="J2483" s="1">
        <f>467*4418.3</f>
        <v>2063346.1</v>
      </c>
      <c r="K2483" s="1">
        <v>0</v>
      </c>
      <c r="L2483" s="2">
        <v>0</v>
      </c>
      <c r="M2483" s="1">
        <v>0</v>
      </c>
      <c r="N2483" s="1">
        <v>950</v>
      </c>
      <c r="O2483" s="1">
        <f>N2483*4968</f>
        <v>4719600</v>
      </c>
      <c r="P2483" s="1">
        <v>0</v>
      </c>
      <c r="Q2483" s="1">
        <f t="shared" si="1412"/>
        <v>0</v>
      </c>
      <c r="R2483" s="1">
        <v>1272</v>
      </c>
      <c r="S2483" s="1">
        <f t="shared" si="1411"/>
        <v>4771272</v>
      </c>
      <c r="T2483" s="1">
        <v>0</v>
      </c>
      <c r="U2483" s="1">
        <v>50000</v>
      </c>
      <c r="V2483" s="1">
        <v>0</v>
      </c>
      <c r="W2483" s="1">
        <v>50000</v>
      </c>
      <c r="X2483" s="1">
        <v>0</v>
      </c>
      <c r="Y2483" s="1">
        <v>0</v>
      </c>
      <c r="Z2483" s="1">
        <v>0</v>
      </c>
      <c r="AA2483" s="1">
        <v>0</v>
      </c>
      <c r="AB2483" s="1">
        <v>0</v>
      </c>
      <c r="AC2483" s="1">
        <v>0</v>
      </c>
      <c r="AD2483" s="1">
        <v>0</v>
      </c>
    </row>
    <row r="2484" spans="1:30" s="20" customFormat="1" ht="36" customHeight="1" x14ac:dyDescent="0.25">
      <c r="A2484" s="2">
        <f t="shared" si="1401"/>
        <v>2401</v>
      </c>
      <c r="B2484" s="3">
        <f t="shared" si="1391"/>
        <v>2401</v>
      </c>
      <c r="C2484" s="19" t="s">
        <v>2583</v>
      </c>
      <c r="D2484" s="4">
        <f t="shared" si="1403"/>
        <v>30355915.499999996</v>
      </c>
      <c r="E2484" s="1">
        <f t="shared" si="1405"/>
        <v>24655672.499999996</v>
      </c>
      <c r="F2484" s="1">
        <f>804*6281.7</f>
        <v>5050486.8</v>
      </c>
      <c r="G2484" s="1">
        <f>1693*6281.7</f>
        <v>10634918.1</v>
      </c>
      <c r="H2484" s="1">
        <f>390*6281.7</f>
        <v>2449863</v>
      </c>
      <c r="I2484" s="1">
        <f>571*6281.7</f>
        <v>3586850.6999999997</v>
      </c>
      <c r="J2484" s="1">
        <f>467*6281.7</f>
        <v>2933553.9</v>
      </c>
      <c r="K2484" s="1">
        <v>0</v>
      </c>
      <c r="L2484" s="2">
        <v>0</v>
      </c>
      <c r="M2484" s="1">
        <v>0</v>
      </c>
      <c r="N2484" s="1">
        <v>0</v>
      </c>
      <c r="O2484" s="1">
        <v>0</v>
      </c>
      <c r="P2484" s="1">
        <v>0</v>
      </c>
      <c r="Q2484" s="1">
        <f t="shared" si="1412"/>
        <v>0</v>
      </c>
      <c r="R2484" s="1">
        <v>1493</v>
      </c>
      <c r="S2484" s="1">
        <f t="shared" si="1411"/>
        <v>5600243</v>
      </c>
      <c r="T2484" s="1">
        <v>0</v>
      </c>
      <c r="U2484" s="1">
        <v>50000</v>
      </c>
      <c r="V2484" s="1">
        <v>0</v>
      </c>
      <c r="W2484" s="1">
        <v>50000</v>
      </c>
      <c r="X2484" s="1">
        <v>0</v>
      </c>
      <c r="Y2484" s="1">
        <v>0</v>
      </c>
      <c r="Z2484" s="1">
        <v>0</v>
      </c>
      <c r="AA2484" s="1">
        <v>0</v>
      </c>
      <c r="AB2484" s="1">
        <v>0</v>
      </c>
      <c r="AC2484" s="1">
        <v>0</v>
      </c>
      <c r="AD2484" s="1">
        <v>0</v>
      </c>
    </row>
    <row r="2485" spans="1:30" s="20" customFormat="1" ht="36" customHeight="1" x14ac:dyDescent="0.25">
      <c r="A2485" s="2">
        <f t="shared" si="1401"/>
        <v>2402</v>
      </c>
      <c r="B2485" s="3">
        <f t="shared" si="1391"/>
        <v>2402</v>
      </c>
      <c r="C2485" s="19" t="s">
        <v>2584</v>
      </c>
      <c r="D2485" s="4">
        <f t="shared" si="1403"/>
        <v>41322813</v>
      </c>
      <c r="E2485" s="1">
        <f t="shared" si="1405"/>
        <v>24254144.999999996</v>
      </c>
      <c r="F2485" s="1">
        <f>804*6179.4</f>
        <v>4968237.5999999996</v>
      </c>
      <c r="G2485" s="1">
        <f>1693*6179.4</f>
        <v>10461724.199999999</v>
      </c>
      <c r="H2485" s="1">
        <f>390*6179.4</f>
        <v>2409966</v>
      </c>
      <c r="I2485" s="1">
        <f>571*6179.4</f>
        <v>3528437.4</v>
      </c>
      <c r="J2485" s="1">
        <f>467*6179.4</f>
        <v>2885779.8</v>
      </c>
      <c r="K2485" s="1">
        <v>0</v>
      </c>
      <c r="L2485" s="2">
        <v>0</v>
      </c>
      <c r="M2485" s="1">
        <v>0</v>
      </c>
      <c r="N2485" s="1">
        <v>1226</v>
      </c>
      <c r="O2485" s="1">
        <f>N2485*4968</f>
        <v>6090768</v>
      </c>
      <c r="P2485" s="1">
        <v>0</v>
      </c>
      <c r="Q2485" s="1">
        <f t="shared" si="1412"/>
        <v>0</v>
      </c>
      <c r="R2485" s="1">
        <v>2900</v>
      </c>
      <c r="S2485" s="1">
        <f t="shared" si="1411"/>
        <v>10877900</v>
      </c>
      <c r="T2485" s="1">
        <v>0</v>
      </c>
      <c r="U2485" s="1">
        <v>50000</v>
      </c>
      <c r="V2485" s="1">
        <v>0</v>
      </c>
      <c r="W2485" s="1">
        <v>50000</v>
      </c>
      <c r="X2485" s="1">
        <v>0</v>
      </c>
      <c r="Y2485" s="1">
        <v>0</v>
      </c>
      <c r="Z2485" s="1">
        <v>0</v>
      </c>
      <c r="AA2485" s="1">
        <v>0</v>
      </c>
      <c r="AB2485" s="1">
        <v>0</v>
      </c>
      <c r="AC2485" s="1">
        <v>0</v>
      </c>
      <c r="AD2485" s="1">
        <v>0</v>
      </c>
    </row>
    <row r="2486" spans="1:30" s="20" customFormat="1" ht="36" customHeight="1" x14ac:dyDescent="0.25">
      <c r="A2486" s="2">
        <f t="shared" si="1401"/>
        <v>2403</v>
      </c>
      <c r="B2486" s="3">
        <f t="shared" si="1391"/>
        <v>2403</v>
      </c>
      <c r="C2486" s="19" t="s">
        <v>2585</v>
      </c>
      <c r="D2486" s="4">
        <f t="shared" si="1403"/>
        <v>41512963.5</v>
      </c>
      <c r="E2486" s="1">
        <f t="shared" si="1405"/>
        <v>24369775.499999996</v>
      </c>
      <c r="F2486" s="1">
        <f>804*6208.86</f>
        <v>4991923.4399999995</v>
      </c>
      <c r="G2486" s="1">
        <f>1693*6208.86</f>
        <v>10511599.979999999</v>
      </c>
      <c r="H2486" s="1">
        <f>390*6208.86</f>
        <v>2421455.4</v>
      </c>
      <c r="I2486" s="1">
        <f>571*6208.86</f>
        <v>3545259.0599999996</v>
      </c>
      <c r="J2486" s="1">
        <f>467*6208.86</f>
        <v>2899537.6199999996</v>
      </c>
      <c r="K2486" s="1">
        <v>0</v>
      </c>
      <c r="L2486" s="2">
        <v>0</v>
      </c>
      <c r="M2486" s="1">
        <v>0</v>
      </c>
      <c r="N2486" s="1">
        <v>1241</v>
      </c>
      <c r="O2486" s="1">
        <f>N2486*4968</f>
        <v>6165288</v>
      </c>
      <c r="P2486" s="1">
        <v>0</v>
      </c>
      <c r="Q2486" s="1">
        <f t="shared" si="1412"/>
        <v>0</v>
      </c>
      <c r="R2486" s="1">
        <v>2900</v>
      </c>
      <c r="S2486" s="1">
        <f t="shared" si="1411"/>
        <v>10877900</v>
      </c>
      <c r="T2486" s="1">
        <v>0</v>
      </c>
      <c r="U2486" s="1">
        <v>50000</v>
      </c>
      <c r="V2486" s="1">
        <v>0</v>
      </c>
      <c r="W2486" s="1">
        <v>50000</v>
      </c>
      <c r="X2486" s="1">
        <v>0</v>
      </c>
      <c r="Y2486" s="1">
        <v>0</v>
      </c>
      <c r="Z2486" s="1">
        <v>0</v>
      </c>
      <c r="AA2486" s="1">
        <v>0</v>
      </c>
      <c r="AB2486" s="1">
        <v>0</v>
      </c>
      <c r="AC2486" s="1">
        <v>0</v>
      </c>
      <c r="AD2486" s="1">
        <v>0</v>
      </c>
    </row>
    <row r="2487" spans="1:30" s="20" customFormat="1" ht="36" customHeight="1" x14ac:dyDescent="0.25">
      <c r="A2487" s="2">
        <f t="shared" si="1401"/>
        <v>2404</v>
      </c>
      <c r="B2487" s="3">
        <f t="shared" si="1391"/>
        <v>2404</v>
      </c>
      <c r="C2487" s="19" t="s">
        <v>2586</v>
      </c>
      <c r="D2487" s="4">
        <f t="shared" si="1403"/>
        <v>26103142.5</v>
      </c>
      <c r="E2487" s="1">
        <f t="shared" si="1405"/>
        <v>18126042.5</v>
      </c>
      <c r="F2487" s="1">
        <f>804*4618.1</f>
        <v>3712952.4000000004</v>
      </c>
      <c r="G2487" s="1">
        <f>1693*4618.1</f>
        <v>7818443.3000000007</v>
      </c>
      <c r="H2487" s="1">
        <f>390*4618.1</f>
        <v>1801059.0000000002</v>
      </c>
      <c r="I2487" s="1">
        <f>571*4618.1</f>
        <v>2636935.1</v>
      </c>
      <c r="J2487" s="1">
        <f>467*4618.1</f>
        <v>2156652.7000000002</v>
      </c>
      <c r="K2487" s="1">
        <v>0</v>
      </c>
      <c r="L2487" s="2">
        <v>0</v>
      </c>
      <c r="M2487" s="1">
        <v>0</v>
      </c>
      <c r="N2487" s="1">
        <v>0</v>
      </c>
      <c r="O2487" s="1">
        <v>0</v>
      </c>
      <c r="P2487" s="1">
        <v>0</v>
      </c>
      <c r="Q2487" s="1">
        <f t="shared" si="1412"/>
        <v>0</v>
      </c>
      <c r="R2487" s="1">
        <v>2100</v>
      </c>
      <c r="S2487" s="1">
        <f t="shared" si="1411"/>
        <v>7877100</v>
      </c>
      <c r="T2487" s="1">
        <v>0</v>
      </c>
      <c r="U2487" s="1">
        <v>50000</v>
      </c>
      <c r="V2487" s="1">
        <v>0</v>
      </c>
      <c r="W2487" s="1">
        <v>50000</v>
      </c>
      <c r="X2487" s="1">
        <v>0</v>
      </c>
      <c r="Y2487" s="1">
        <v>0</v>
      </c>
      <c r="Z2487" s="1">
        <v>0</v>
      </c>
      <c r="AA2487" s="1">
        <v>0</v>
      </c>
      <c r="AB2487" s="1">
        <v>0</v>
      </c>
      <c r="AC2487" s="1">
        <v>0</v>
      </c>
      <c r="AD2487" s="1">
        <v>0</v>
      </c>
    </row>
    <row r="2488" spans="1:30" s="20" customFormat="1" ht="36" customHeight="1" x14ac:dyDescent="0.25">
      <c r="A2488" s="2">
        <f t="shared" si="1401"/>
        <v>2405</v>
      </c>
      <c r="B2488" s="3">
        <f t="shared" si="1391"/>
        <v>2405</v>
      </c>
      <c r="C2488" s="19" t="s">
        <v>2587</v>
      </c>
      <c r="D2488" s="4">
        <f t="shared" si="1403"/>
        <v>19571730</v>
      </c>
      <c r="E2488" s="1">
        <f t="shared" si="1405"/>
        <v>11174946</v>
      </c>
      <c r="F2488" s="1">
        <f>804*2847.12</f>
        <v>2289084.48</v>
      </c>
      <c r="G2488" s="1">
        <f>1693*2847.12</f>
        <v>4820174.16</v>
      </c>
      <c r="H2488" s="1">
        <f>390*2847.12</f>
        <v>1110376.8</v>
      </c>
      <c r="I2488" s="1">
        <f>571*2847.12</f>
        <v>1625705.52</v>
      </c>
      <c r="J2488" s="1">
        <f>467*2847.12</f>
        <v>1329605.04</v>
      </c>
      <c r="K2488" s="1">
        <v>0</v>
      </c>
      <c r="L2488" s="2">
        <v>0</v>
      </c>
      <c r="M2488" s="1">
        <v>0</v>
      </c>
      <c r="N2488" s="1">
        <v>613</v>
      </c>
      <c r="O2488" s="1">
        <f t="shared" ref="O2488:O2496" si="1413">N2488*4968</f>
        <v>3045384</v>
      </c>
      <c r="P2488" s="1">
        <v>0</v>
      </c>
      <c r="Q2488" s="1">
        <f t="shared" si="1412"/>
        <v>0</v>
      </c>
      <c r="R2488" s="1">
        <v>1400</v>
      </c>
      <c r="S2488" s="1">
        <f t="shared" si="1411"/>
        <v>5251400</v>
      </c>
      <c r="T2488" s="1">
        <v>0</v>
      </c>
      <c r="U2488" s="1">
        <v>50000</v>
      </c>
      <c r="V2488" s="1">
        <v>0</v>
      </c>
      <c r="W2488" s="1">
        <v>50000</v>
      </c>
      <c r="X2488" s="1">
        <v>0</v>
      </c>
      <c r="Y2488" s="1">
        <v>0</v>
      </c>
      <c r="Z2488" s="1">
        <v>0</v>
      </c>
      <c r="AA2488" s="1">
        <v>0</v>
      </c>
      <c r="AB2488" s="1">
        <v>0</v>
      </c>
      <c r="AC2488" s="1">
        <v>0</v>
      </c>
      <c r="AD2488" s="1">
        <v>0</v>
      </c>
    </row>
    <row r="2489" spans="1:30" s="20" customFormat="1" ht="36" customHeight="1" x14ac:dyDescent="0.25">
      <c r="A2489" s="2">
        <f t="shared" si="1401"/>
        <v>2406</v>
      </c>
      <c r="B2489" s="3">
        <f t="shared" si="1391"/>
        <v>2406</v>
      </c>
      <c r="C2489" s="19" t="s">
        <v>2588</v>
      </c>
      <c r="D2489" s="4">
        <f t="shared" si="1403"/>
        <v>19366173.5</v>
      </c>
      <c r="E2489" s="1">
        <f t="shared" si="1405"/>
        <v>10874997.5</v>
      </c>
      <c r="F2489" s="1">
        <f>804*2770.7</f>
        <v>2227642.7999999998</v>
      </c>
      <c r="G2489" s="1">
        <f>1693*2770.7</f>
        <v>4690795.0999999996</v>
      </c>
      <c r="H2489" s="1">
        <f>390*2770.7</f>
        <v>1080573</v>
      </c>
      <c r="I2489" s="1">
        <f>571*2770.7</f>
        <v>1582069.7</v>
      </c>
      <c r="J2489" s="1">
        <f>467*2770.7</f>
        <v>1293916.8999999999</v>
      </c>
      <c r="K2489" s="1">
        <v>0</v>
      </c>
      <c r="L2489" s="2">
        <v>0</v>
      </c>
      <c r="M2489" s="1">
        <v>0</v>
      </c>
      <c r="N2489" s="1">
        <v>632</v>
      </c>
      <c r="O2489" s="1">
        <f t="shared" si="1413"/>
        <v>3139776</v>
      </c>
      <c r="P2489" s="1">
        <v>0</v>
      </c>
      <c r="Q2489" s="1">
        <f t="shared" si="1412"/>
        <v>0</v>
      </c>
      <c r="R2489" s="1">
        <v>1400</v>
      </c>
      <c r="S2489" s="1">
        <f t="shared" si="1411"/>
        <v>5251400</v>
      </c>
      <c r="T2489" s="1">
        <v>0</v>
      </c>
      <c r="U2489" s="1">
        <v>50000</v>
      </c>
      <c r="V2489" s="1">
        <v>0</v>
      </c>
      <c r="W2489" s="1">
        <v>50000</v>
      </c>
      <c r="X2489" s="1">
        <v>0</v>
      </c>
      <c r="Y2489" s="1">
        <v>0</v>
      </c>
      <c r="Z2489" s="1">
        <v>0</v>
      </c>
      <c r="AA2489" s="1">
        <v>0</v>
      </c>
      <c r="AB2489" s="1">
        <v>0</v>
      </c>
      <c r="AC2489" s="1">
        <v>0</v>
      </c>
      <c r="AD2489" s="1">
        <v>0</v>
      </c>
    </row>
    <row r="2490" spans="1:30" s="20" customFormat="1" ht="36" customHeight="1" x14ac:dyDescent="0.25">
      <c r="A2490" s="2">
        <f t="shared" si="1401"/>
        <v>2407</v>
      </c>
      <c r="B2490" s="3">
        <f t="shared" si="1391"/>
        <v>2407</v>
      </c>
      <c r="C2490" s="19" t="s">
        <v>2589</v>
      </c>
      <c r="D2490" s="4">
        <f t="shared" si="1403"/>
        <v>19759749.5</v>
      </c>
      <c r="E2490" s="1">
        <f t="shared" si="1405"/>
        <v>11308317.499999998</v>
      </c>
      <c r="F2490" s="1">
        <f>804*2881.1</f>
        <v>2316404.4</v>
      </c>
      <c r="G2490" s="1">
        <f>1693*2881.1</f>
        <v>4877702.3</v>
      </c>
      <c r="H2490" s="1">
        <f>390*2881.1</f>
        <v>1123629</v>
      </c>
      <c r="I2490" s="1">
        <f>571*2881.1</f>
        <v>1645108.0999999999</v>
      </c>
      <c r="J2490" s="1">
        <f>467*2881.1</f>
        <v>1345473.7</v>
      </c>
      <c r="K2490" s="1">
        <v>0</v>
      </c>
      <c r="L2490" s="2">
        <v>0</v>
      </c>
      <c r="M2490" s="1">
        <v>0</v>
      </c>
      <c r="N2490" s="1">
        <v>624</v>
      </c>
      <c r="O2490" s="1">
        <f t="shared" si="1413"/>
        <v>3100032</v>
      </c>
      <c r="P2490" s="1">
        <v>0</v>
      </c>
      <c r="Q2490" s="1">
        <f t="shared" si="1412"/>
        <v>0</v>
      </c>
      <c r="R2490" s="1">
        <v>1400</v>
      </c>
      <c r="S2490" s="1">
        <f t="shared" si="1411"/>
        <v>5251400</v>
      </c>
      <c r="T2490" s="1">
        <v>0</v>
      </c>
      <c r="U2490" s="1">
        <v>50000</v>
      </c>
      <c r="V2490" s="1">
        <v>0</v>
      </c>
      <c r="W2490" s="1">
        <v>50000</v>
      </c>
      <c r="X2490" s="1">
        <v>0</v>
      </c>
      <c r="Y2490" s="1">
        <v>0</v>
      </c>
      <c r="Z2490" s="1">
        <v>0</v>
      </c>
      <c r="AA2490" s="1">
        <v>0</v>
      </c>
      <c r="AB2490" s="1">
        <v>0</v>
      </c>
      <c r="AC2490" s="1">
        <v>0</v>
      </c>
      <c r="AD2490" s="1">
        <v>0</v>
      </c>
    </row>
    <row r="2491" spans="1:30" s="20" customFormat="1" ht="36" customHeight="1" x14ac:dyDescent="0.25">
      <c r="A2491" s="2">
        <f t="shared" si="1401"/>
        <v>2408</v>
      </c>
      <c r="B2491" s="3">
        <f t="shared" si="1391"/>
        <v>2408</v>
      </c>
      <c r="C2491" s="19" t="s">
        <v>2590</v>
      </c>
      <c r="D2491" s="4">
        <f t="shared" si="1403"/>
        <v>75400594</v>
      </c>
      <c r="E2491" s="1">
        <f t="shared" si="1405"/>
        <v>18044009.999999996</v>
      </c>
      <c r="F2491" s="1">
        <f>804*4597.2</f>
        <v>3696148.8</v>
      </c>
      <c r="G2491" s="1">
        <f>1693*4597.2</f>
        <v>7783059.5999999996</v>
      </c>
      <c r="H2491" s="1">
        <f>390*4597.2</f>
        <v>1792908</v>
      </c>
      <c r="I2491" s="1">
        <f>571*4597.2</f>
        <v>2625001.1999999997</v>
      </c>
      <c r="J2491" s="1">
        <f>467*4597.2</f>
        <v>2146892.4</v>
      </c>
      <c r="K2491" s="1">
        <v>0</v>
      </c>
      <c r="L2491" s="2">
        <v>0</v>
      </c>
      <c r="M2491" s="1">
        <v>0</v>
      </c>
      <c r="N2491" s="1">
        <v>9713</v>
      </c>
      <c r="O2491" s="1">
        <f t="shared" si="1413"/>
        <v>48254184</v>
      </c>
      <c r="P2491" s="1">
        <v>0</v>
      </c>
      <c r="Q2491" s="1">
        <f t="shared" si="1412"/>
        <v>0</v>
      </c>
      <c r="R2491" s="1">
        <v>2400</v>
      </c>
      <c r="S2491" s="1">
        <f t="shared" si="1411"/>
        <v>9002400</v>
      </c>
      <c r="T2491" s="1">
        <v>0</v>
      </c>
      <c r="U2491" s="1">
        <v>50000</v>
      </c>
      <c r="V2491" s="1">
        <v>0</v>
      </c>
      <c r="W2491" s="1">
        <v>50000</v>
      </c>
      <c r="X2491" s="1">
        <v>0</v>
      </c>
      <c r="Y2491" s="1">
        <v>0</v>
      </c>
      <c r="Z2491" s="1">
        <v>0</v>
      </c>
      <c r="AA2491" s="1">
        <v>0</v>
      </c>
      <c r="AB2491" s="1">
        <v>0</v>
      </c>
      <c r="AC2491" s="1">
        <v>0</v>
      </c>
      <c r="AD2491" s="1">
        <v>0</v>
      </c>
    </row>
    <row r="2492" spans="1:30" s="20" customFormat="1" ht="36" customHeight="1" x14ac:dyDescent="0.25">
      <c r="A2492" s="2">
        <f t="shared" si="1401"/>
        <v>2409</v>
      </c>
      <c r="B2492" s="3">
        <f t="shared" si="1391"/>
        <v>2409</v>
      </c>
      <c r="C2492" s="19" t="s">
        <v>2591</v>
      </c>
      <c r="D2492" s="4">
        <f t="shared" si="1403"/>
        <v>22797923</v>
      </c>
      <c r="E2492" s="1">
        <f t="shared" si="1405"/>
        <v>11822100</v>
      </c>
      <c r="F2492" s="1">
        <f>804*3012</f>
        <v>2421648</v>
      </c>
      <c r="G2492" s="1">
        <f>1693*3012</f>
        <v>5099316</v>
      </c>
      <c r="H2492" s="1">
        <f>390*3012</f>
        <v>1174680</v>
      </c>
      <c r="I2492" s="1">
        <f>571*3012</f>
        <v>1719852</v>
      </c>
      <c r="J2492" s="1">
        <f>467*3012</f>
        <v>1406604</v>
      </c>
      <c r="K2492" s="1">
        <v>0</v>
      </c>
      <c r="L2492" s="2">
        <v>0</v>
      </c>
      <c r="M2492" s="1">
        <v>0</v>
      </c>
      <c r="N2492" s="1">
        <v>775</v>
      </c>
      <c r="O2492" s="1">
        <f t="shared" si="1413"/>
        <v>3850200</v>
      </c>
      <c r="P2492" s="1">
        <v>0</v>
      </c>
      <c r="Q2492" s="1">
        <f t="shared" si="1412"/>
        <v>0</v>
      </c>
      <c r="R2492" s="1">
        <v>1873</v>
      </c>
      <c r="S2492" s="1">
        <f t="shared" si="1411"/>
        <v>7025623</v>
      </c>
      <c r="T2492" s="1">
        <v>0</v>
      </c>
      <c r="U2492" s="1">
        <v>50000</v>
      </c>
      <c r="V2492" s="1">
        <v>0</v>
      </c>
      <c r="W2492" s="1">
        <v>50000</v>
      </c>
      <c r="X2492" s="1">
        <v>0</v>
      </c>
      <c r="Y2492" s="1">
        <v>0</v>
      </c>
      <c r="Z2492" s="1">
        <v>0</v>
      </c>
      <c r="AA2492" s="1">
        <v>0</v>
      </c>
      <c r="AB2492" s="1">
        <v>0</v>
      </c>
      <c r="AC2492" s="1">
        <v>0</v>
      </c>
      <c r="AD2492" s="1">
        <v>0</v>
      </c>
    </row>
    <row r="2493" spans="1:30" s="20" customFormat="1" ht="36" customHeight="1" x14ac:dyDescent="0.25">
      <c r="A2493" s="2">
        <f t="shared" si="1401"/>
        <v>2410</v>
      </c>
      <c r="B2493" s="3">
        <f t="shared" si="1391"/>
        <v>2410</v>
      </c>
      <c r="C2493" s="19" t="s">
        <v>2592</v>
      </c>
      <c r="D2493" s="4">
        <f t="shared" si="1403"/>
        <v>31837042.5</v>
      </c>
      <c r="E2493" s="1">
        <f t="shared" si="1405"/>
        <v>18084594.5</v>
      </c>
      <c r="F2493" s="1">
        <f>804*4607.54</f>
        <v>3704462.16</v>
      </c>
      <c r="G2493" s="1">
        <f>1693*4607.54</f>
        <v>7800565.2199999997</v>
      </c>
      <c r="H2493" s="1">
        <f>390*4607.54</f>
        <v>1796940.6</v>
      </c>
      <c r="I2493" s="1">
        <f>571*4607.54</f>
        <v>2630905.34</v>
      </c>
      <c r="J2493" s="1">
        <f>467*4607.54</f>
        <v>2151721.1800000002</v>
      </c>
      <c r="K2493" s="1">
        <v>0</v>
      </c>
      <c r="L2493" s="2">
        <v>0</v>
      </c>
      <c r="M2493" s="1">
        <v>0</v>
      </c>
      <c r="N2493" s="1">
        <v>936</v>
      </c>
      <c r="O2493" s="1">
        <f t="shared" si="1413"/>
        <v>4650048</v>
      </c>
      <c r="P2493" s="1">
        <v>0</v>
      </c>
      <c r="Q2493" s="1">
        <f t="shared" si="1412"/>
        <v>0</v>
      </c>
      <c r="R2493" s="1">
        <v>2400</v>
      </c>
      <c r="S2493" s="1">
        <f t="shared" si="1411"/>
        <v>9002400</v>
      </c>
      <c r="T2493" s="1">
        <v>0</v>
      </c>
      <c r="U2493" s="1">
        <v>50000</v>
      </c>
      <c r="V2493" s="1">
        <v>0</v>
      </c>
      <c r="W2493" s="1">
        <v>50000</v>
      </c>
      <c r="X2493" s="1">
        <v>0</v>
      </c>
      <c r="Y2493" s="1">
        <v>0</v>
      </c>
      <c r="Z2493" s="1">
        <v>0</v>
      </c>
      <c r="AA2493" s="1">
        <v>0</v>
      </c>
      <c r="AB2493" s="1">
        <v>0</v>
      </c>
      <c r="AC2493" s="1">
        <v>0</v>
      </c>
      <c r="AD2493" s="1">
        <v>0</v>
      </c>
    </row>
    <row r="2494" spans="1:30" s="20" customFormat="1" ht="36" customHeight="1" x14ac:dyDescent="0.25">
      <c r="A2494" s="2">
        <f t="shared" si="1401"/>
        <v>2411</v>
      </c>
      <c r="B2494" s="3">
        <f t="shared" si="1391"/>
        <v>2411</v>
      </c>
      <c r="C2494" s="19" t="s">
        <v>2593</v>
      </c>
      <c r="D2494" s="4">
        <f t="shared" si="1403"/>
        <v>20826805</v>
      </c>
      <c r="E2494" s="1">
        <f t="shared" si="1405"/>
        <v>11826025</v>
      </c>
      <c r="F2494" s="1">
        <f>804*3013</f>
        <v>2422452</v>
      </c>
      <c r="G2494" s="1">
        <f>1693*3013</f>
        <v>5101009</v>
      </c>
      <c r="H2494" s="1">
        <f>390*3013</f>
        <v>1175070</v>
      </c>
      <c r="I2494" s="1">
        <f>571*3013</f>
        <v>1720423</v>
      </c>
      <c r="J2494" s="1">
        <f>467*3013</f>
        <v>1407071</v>
      </c>
      <c r="K2494" s="1">
        <v>0</v>
      </c>
      <c r="L2494" s="2">
        <v>0</v>
      </c>
      <c r="M2494" s="1">
        <v>0</v>
      </c>
      <c r="N2494" s="1">
        <v>798</v>
      </c>
      <c r="O2494" s="1">
        <f t="shared" si="1413"/>
        <v>3964464</v>
      </c>
      <c r="P2494" s="1">
        <v>0</v>
      </c>
      <c r="Q2494" s="1">
        <f t="shared" si="1412"/>
        <v>0</v>
      </c>
      <c r="R2494" s="1">
        <v>1316</v>
      </c>
      <c r="S2494" s="1">
        <f t="shared" si="1411"/>
        <v>4936316</v>
      </c>
      <c r="T2494" s="1">
        <v>0</v>
      </c>
      <c r="U2494" s="1">
        <v>50000</v>
      </c>
      <c r="V2494" s="1">
        <v>0</v>
      </c>
      <c r="W2494" s="1">
        <v>50000</v>
      </c>
      <c r="X2494" s="1">
        <v>0</v>
      </c>
      <c r="Y2494" s="1">
        <v>0</v>
      </c>
      <c r="Z2494" s="1">
        <v>0</v>
      </c>
      <c r="AA2494" s="1">
        <v>0</v>
      </c>
      <c r="AB2494" s="1">
        <v>0</v>
      </c>
      <c r="AC2494" s="1">
        <v>0</v>
      </c>
      <c r="AD2494" s="1">
        <v>0</v>
      </c>
    </row>
    <row r="2495" spans="1:30" s="20" customFormat="1" ht="36" customHeight="1" x14ac:dyDescent="0.25">
      <c r="A2495" s="2">
        <f t="shared" si="1401"/>
        <v>2412</v>
      </c>
      <c r="B2495" s="3">
        <f t="shared" si="1391"/>
        <v>2412</v>
      </c>
      <c r="C2495" s="19" t="s">
        <v>2594</v>
      </c>
      <c r="D2495" s="4">
        <f t="shared" si="1403"/>
        <v>40794167</v>
      </c>
      <c r="E2495" s="1">
        <f t="shared" si="1405"/>
        <v>23986302.999999996</v>
      </c>
      <c r="F2495" s="1">
        <f>804*6111.16</f>
        <v>4913372.6399999997</v>
      </c>
      <c r="G2495" s="1">
        <f>1693*6111.16</f>
        <v>10346193.879999999</v>
      </c>
      <c r="H2495" s="1">
        <f>390*6111.16</f>
        <v>2383352.4</v>
      </c>
      <c r="I2495" s="1">
        <f>571*6111.16</f>
        <v>3489472.36</v>
      </c>
      <c r="J2495" s="1">
        <f>467*6111.16</f>
        <v>2853911.7199999997</v>
      </c>
      <c r="K2495" s="1">
        <v>0</v>
      </c>
      <c r="L2495" s="2">
        <v>0</v>
      </c>
      <c r="M2495" s="1">
        <v>0</v>
      </c>
      <c r="N2495" s="1">
        <v>1098</v>
      </c>
      <c r="O2495" s="1">
        <f t="shared" si="1413"/>
        <v>5454864</v>
      </c>
      <c r="P2495" s="1">
        <v>0</v>
      </c>
      <c r="Q2495" s="1">
        <f t="shared" si="1412"/>
        <v>0</v>
      </c>
      <c r="R2495" s="1">
        <v>3000</v>
      </c>
      <c r="S2495" s="1">
        <f t="shared" si="1411"/>
        <v>11253000</v>
      </c>
      <c r="T2495" s="1">
        <v>0</v>
      </c>
      <c r="U2495" s="1">
        <v>50000</v>
      </c>
      <c r="V2495" s="1">
        <v>0</v>
      </c>
      <c r="W2495" s="1">
        <v>50000</v>
      </c>
      <c r="X2495" s="1">
        <v>0</v>
      </c>
      <c r="Y2495" s="1">
        <v>0</v>
      </c>
      <c r="Z2495" s="1">
        <v>0</v>
      </c>
      <c r="AA2495" s="1">
        <v>0</v>
      </c>
      <c r="AB2495" s="1">
        <v>0</v>
      </c>
      <c r="AC2495" s="1">
        <v>0</v>
      </c>
      <c r="AD2495" s="1">
        <v>0</v>
      </c>
    </row>
    <row r="2496" spans="1:30" s="20" customFormat="1" ht="36" customHeight="1" x14ac:dyDescent="0.25">
      <c r="A2496" s="2">
        <f t="shared" si="1401"/>
        <v>2413</v>
      </c>
      <c r="B2496" s="3">
        <f t="shared" si="1391"/>
        <v>2413</v>
      </c>
      <c r="C2496" s="19" t="s">
        <v>2595</v>
      </c>
      <c r="D2496" s="4">
        <f t="shared" si="1403"/>
        <v>40186767</v>
      </c>
      <c r="E2496" s="1">
        <f t="shared" si="1405"/>
        <v>23423615.000000004</v>
      </c>
      <c r="F2496" s="1">
        <f>804*5967.8</f>
        <v>4798111.2</v>
      </c>
      <c r="G2496" s="1">
        <f>1693*5967.8</f>
        <v>10103485.4</v>
      </c>
      <c r="H2496" s="1">
        <f>390*5967.8</f>
        <v>2327442</v>
      </c>
      <c r="I2496" s="1">
        <f>571*5967.8</f>
        <v>3407613.8000000003</v>
      </c>
      <c r="J2496" s="1">
        <f>467*5967.8</f>
        <v>2786962.6</v>
      </c>
      <c r="K2496" s="1">
        <v>0</v>
      </c>
      <c r="L2496" s="2">
        <v>0</v>
      </c>
      <c r="M2496" s="1">
        <v>0</v>
      </c>
      <c r="N2496" s="1">
        <v>1089</v>
      </c>
      <c r="O2496" s="1">
        <f t="shared" si="1413"/>
        <v>5410152</v>
      </c>
      <c r="P2496" s="1">
        <v>0</v>
      </c>
      <c r="Q2496" s="1">
        <f t="shared" si="1412"/>
        <v>0</v>
      </c>
      <c r="R2496" s="1">
        <v>3000</v>
      </c>
      <c r="S2496" s="1">
        <f t="shared" si="1411"/>
        <v>11253000</v>
      </c>
      <c r="T2496" s="1">
        <v>0</v>
      </c>
      <c r="U2496" s="1">
        <v>50000</v>
      </c>
      <c r="V2496" s="1">
        <v>0</v>
      </c>
      <c r="W2496" s="1">
        <v>50000</v>
      </c>
      <c r="X2496" s="1">
        <v>0</v>
      </c>
      <c r="Y2496" s="1">
        <v>0</v>
      </c>
      <c r="Z2496" s="1">
        <v>0</v>
      </c>
      <c r="AA2496" s="1">
        <v>0</v>
      </c>
      <c r="AB2496" s="1">
        <v>0</v>
      </c>
      <c r="AC2496" s="1">
        <v>0</v>
      </c>
      <c r="AD2496" s="1">
        <v>0</v>
      </c>
    </row>
    <row r="2497" spans="1:30" s="20" customFormat="1" ht="36" customHeight="1" x14ac:dyDescent="0.25">
      <c r="A2497" s="2">
        <f t="shared" si="1401"/>
        <v>2414</v>
      </c>
      <c r="B2497" s="3">
        <f t="shared" si="1391"/>
        <v>2414</v>
      </c>
      <c r="C2497" s="19" t="s">
        <v>2596</v>
      </c>
      <c r="D2497" s="4">
        <f t="shared" si="1403"/>
        <v>17477937.5</v>
      </c>
      <c r="E2497" s="1">
        <f t="shared" si="1405"/>
        <v>17377937.5</v>
      </c>
      <c r="F2497" s="1">
        <f>804*4427.5</f>
        <v>3559710</v>
      </c>
      <c r="G2497" s="1">
        <f>1693*4427.5</f>
        <v>7495757.5</v>
      </c>
      <c r="H2497" s="1">
        <f>390*4427.5</f>
        <v>1726725</v>
      </c>
      <c r="I2497" s="1">
        <f>571*4427.5</f>
        <v>2528102.5</v>
      </c>
      <c r="J2497" s="1">
        <f>467*4427.5</f>
        <v>2067642.5</v>
      </c>
      <c r="K2497" s="1">
        <v>0</v>
      </c>
      <c r="L2497" s="2">
        <v>0</v>
      </c>
      <c r="M2497" s="1">
        <v>0</v>
      </c>
      <c r="N2497" s="1">
        <v>0</v>
      </c>
      <c r="O2497" s="1">
        <v>0</v>
      </c>
      <c r="P2497" s="1">
        <v>0</v>
      </c>
      <c r="Q2497" s="1">
        <f t="shared" ref="Q2497:Q2596" si="1414">P2497*1400</f>
        <v>0</v>
      </c>
      <c r="R2497" s="1">
        <v>0</v>
      </c>
      <c r="S2497" s="1">
        <f t="shared" ref="S2497:S2596" si="1415">R2497*3751</f>
        <v>0</v>
      </c>
      <c r="T2497" s="1">
        <v>0</v>
      </c>
      <c r="U2497" s="1">
        <v>50000</v>
      </c>
      <c r="V2497" s="1">
        <v>0</v>
      </c>
      <c r="W2497" s="1">
        <v>50000</v>
      </c>
      <c r="X2497" s="1">
        <v>0</v>
      </c>
      <c r="Y2497" s="1">
        <v>0</v>
      </c>
      <c r="Z2497" s="1">
        <v>0</v>
      </c>
      <c r="AA2497" s="1">
        <v>0</v>
      </c>
      <c r="AB2497" s="1">
        <v>0</v>
      </c>
      <c r="AC2497" s="1">
        <v>0</v>
      </c>
      <c r="AD2497" s="1">
        <v>0</v>
      </c>
    </row>
    <row r="2498" spans="1:30" s="20" customFormat="1" ht="36" customHeight="1" x14ac:dyDescent="0.25">
      <c r="A2498" s="2">
        <f t="shared" si="1401"/>
        <v>2415</v>
      </c>
      <c r="B2498" s="3">
        <f t="shared" si="1391"/>
        <v>2415</v>
      </c>
      <c r="C2498" s="19" t="s">
        <v>2597</v>
      </c>
      <c r="D2498" s="4">
        <f t="shared" si="1403"/>
        <v>31164733.500000004</v>
      </c>
      <c r="E2498" s="1">
        <f t="shared" si="1405"/>
        <v>17506677.500000004</v>
      </c>
      <c r="F2498" s="1">
        <f>804*4460.3</f>
        <v>3586081.2</v>
      </c>
      <c r="G2498" s="1">
        <f>1693*4460.3</f>
        <v>7551287.9000000004</v>
      </c>
      <c r="H2498" s="1">
        <f>390*4460.3</f>
        <v>1739517</v>
      </c>
      <c r="I2498" s="1">
        <f>571*4460.3</f>
        <v>2546831.3000000003</v>
      </c>
      <c r="J2498" s="1">
        <f>467*4460.3</f>
        <v>2082960.1</v>
      </c>
      <c r="K2498" s="1">
        <v>0</v>
      </c>
      <c r="L2498" s="2">
        <v>0</v>
      </c>
      <c r="M2498" s="1">
        <v>0</v>
      </c>
      <c r="N2498" s="1">
        <v>917</v>
      </c>
      <c r="O2498" s="1">
        <f>N2498*4968</f>
        <v>4555656</v>
      </c>
      <c r="P2498" s="1">
        <v>0</v>
      </c>
      <c r="Q2498" s="1">
        <f t="shared" si="1412"/>
        <v>0</v>
      </c>
      <c r="R2498" s="1">
        <v>2400</v>
      </c>
      <c r="S2498" s="1">
        <f t="shared" si="1411"/>
        <v>9002400</v>
      </c>
      <c r="T2498" s="1">
        <v>0</v>
      </c>
      <c r="U2498" s="1">
        <v>50000</v>
      </c>
      <c r="V2498" s="1">
        <v>0</v>
      </c>
      <c r="W2498" s="1">
        <v>50000</v>
      </c>
      <c r="X2498" s="1">
        <v>0</v>
      </c>
      <c r="Y2498" s="1">
        <v>0</v>
      </c>
      <c r="Z2498" s="1">
        <v>0</v>
      </c>
      <c r="AA2498" s="1">
        <v>0</v>
      </c>
      <c r="AB2498" s="1">
        <v>0</v>
      </c>
      <c r="AC2498" s="1">
        <v>0</v>
      </c>
      <c r="AD2498" s="1">
        <v>0</v>
      </c>
    </row>
    <row r="2499" spans="1:30" s="20" customFormat="1" ht="36" customHeight="1" x14ac:dyDescent="0.25">
      <c r="A2499" s="2">
        <f t="shared" si="1401"/>
        <v>2416</v>
      </c>
      <c r="B2499" s="3">
        <f t="shared" si="1391"/>
        <v>2416</v>
      </c>
      <c r="C2499" s="19" t="s">
        <v>2598</v>
      </c>
      <c r="D2499" s="4">
        <f t="shared" si="1403"/>
        <v>34308653.5</v>
      </c>
      <c r="E2499" s="1">
        <f t="shared" si="1405"/>
        <v>23169667.500000004</v>
      </c>
      <c r="F2499" s="1">
        <f>804*5903.1</f>
        <v>4746092.4000000004</v>
      </c>
      <c r="G2499" s="1">
        <f>1693*5903.1</f>
        <v>9993948.3000000007</v>
      </c>
      <c r="H2499" s="1">
        <f>390*5903.1</f>
        <v>2302209</v>
      </c>
      <c r="I2499" s="1">
        <f>571*5903.1</f>
        <v>3370670.1</v>
      </c>
      <c r="J2499" s="1">
        <f>467*5903.1</f>
        <v>2756747.7</v>
      </c>
      <c r="K2499" s="1">
        <v>0</v>
      </c>
      <c r="L2499" s="2">
        <v>0</v>
      </c>
      <c r="M2499" s="1">
        <v>0</v>
      </c>
      <c r="N2499" s="1">
        <v>1094</v>
      </c>
      <c r="O2499" s="1">
        <f>N2499*4968</f>
        <v>5434992</v>
      </c>
      <c r="P2499" s="1">
        <v>0</v>
      </c>
      <c r="Q2499" s="1">
        <f t="shared" si="1412"/>
        <v>0</v>
      </c>
      <c r="R2499" s="1">
        <v>1494</v>
      </c>
      <c r="S2499" s="1">
        <f t="shared" si="1411"/>
        <v>5603994</v>
      </c>
      <c r="T2499" s="1">
        <v>0</v>
      </c>
      <c r="U2499" s="1">
        <v>50000</v>
      </c>
      <c r="V2499" s="1">
        <v>0</v>
      </c>
      <c r="W2499" s="1">
        <v>50000</v>
      </c>
      <c r="X2499" s="1">
        <v>0</v>
      </c>
      <c r="Y2499" s="1">
        <v>0</v>
      </c>
      <c r="Z2499" s="1">
        <v>0</v>
      </c>
      <c r="AA2499" s="1">
        <v>0</v>
      </c>
      <c r="AB2499" s="1">
        <v>0</v>
      </c>
      <c r="AC2499" s="1">
        <v>0</v>
      </c>
      <c r="AD2499" s="1">
        <v>0</v>
      </c>
    </row>
    <row r="2500" spans="1:30" s="20" customFormat="1" ht="36" customHeight="1" x14ac:dyDescent="0.25">
      <c r="A2500" s="2">
        <f t="shared" si="1401"/>
        <v>2417</v>
      </c>
      <c r="B2500" s="3">
        <f t="shared" si="1391"/>
        <v>2417</v>
      </c>
      <c r="C2500" s="19" t="s">
        <v>2599</v>
      </c>
      <c r="D2500" s="4">
        <f t="shared" si="1403"/>
        <v>30726792.5</v>
      </c>
      <c r="E2500" s="1">
        <f t="shared" si="1405"/>
        <v>17289860.5</v>
      </c>
      <c r="F2500" s="1">
        <f>804*4405.06</f>
        <v>3541668.24</v>
      </c>
      <c r="G2500" s="1">
        <f>1693*4405.06</f>
        <v>7457766.580000001</v>
      </c>
      <c r="H2500" s="1">
        <f>390*4405.06</f>
        <v>1717973.4000000001</v>
      </c>
      <c r="I2500" s="1">
        <f>571*4405.06</f>
        <v>2515289.2600000002</v>
      </c>
      <c r="J2500" s="1">
        <f>467*4405.06</f>
        <v>2057163.0200000003</v>
      </c>
      <c r="K2500" s="1">
        <v>0</v>
      </c>
      <c r="L2500" s="2">
        <v>0</v>
      </c>
      <c r="M2500" s="1">
        <v>0</v>
      </c>
      <c r="N2500" s="1">
        <v>1099</v>
      </c>
      <c r="O2500" s="1">
        <f>N2500*4968</f>
        <v>5459832</v>
      </c>
      <c r="P2500" s="1">
        <v>0</v>
      </c>
      <c r="Q2500" s="1">
        <f t="shared" si="1412"/>
        <v>0</v>
      </c>
      <c r="R2500" s="1">
        <v>2100</v>
      </c>
      <c r="S2500" s="1">
        <f t="shared" si="1411"/>
        <v>7877100</v>
      </c>
      <c r="T2500" s="1">
        <v>0</v>
      </c>
      <c r="U2500" s="1">
        <v>50000</v>
      </c>
      <c r="V2500" s="1">
        <v>0</v>
      </c>
      <c r="W2500" s="1">
        <v>50000</v>
      </c>
      <c r="X2500" s="1">
        <v>0</v>
      </c>
      <c r="Y2500" s="1">
        <v>0</v>
      </c>
      <c r="Z2500" s="1">
        <v>0</v>
      </c>
      <c r="AA2500" s="1">
        <v>0</v>
      </c>
      <c r="AB2500" s="1">
        <v>0</v>
      </c>
      <c r="AC2500" s="1">
        <v>0</v>
      </c>
      <c r="AD2500" s="1">
        <v>0</v>
      </c>
    </row>
    <row r="2501" spans="1:30" s="20" customFormat="1" ht="36" customHeight="1" x14ac:dyDescent="0.25">
      <c r="A2501" s="2">
        <f t="shared" si="1401"/>
        <v>2418</v>
      </c>
      <c r="B2501" s="3">
        <f t="shared" si="1391"/>
        <v>2418</v>
      </c>
      <c r="C2501" s="19" t="s">
        <v>2600</v>
      </c>
      <c r="D2501" s="4">
        <f t="shared" si="1403"/>
        <v>63295025</v>
      </c>
      <c r="E2501" s="1">
        <f t="shared" si="1405"/>
        <v>45565325</v>
      </c>
      <c r="F2501" s="1">
        <f>804*11609</f>
        <v>9333636</v>
      </c>
      <c r="G2501" s="1">
        <f>1693*11609</f>
        <v>19654037</v>
      </c>
      <c r="H2501" s="1">
        <f>390*11609</f>
        <v>4527510</v>
      </c>
      <c r="I2501" s="1">
        <f>571*11609</f>
        <v>6628739</v>
      </c>
      <c r="J2501" s="1">
        <f>467*11609</f>
        <v>5421403</v>
      </c>
      <c r="K2501" s="1">
        <v>0</v>
      </c>
      <c r="L2501" s="2">
        <v>0</v>
      </c>
      <c r="M2501" s="1">
        <v>0</v>
      </c>
      <c r="N2501" s="1">
        <v>0</v>
      </c>
      <c r="O2501" s="1">
        <v>0</v>
      </c>
      <c r="P2501" s="1">
        <v>0</v>
      </c>
      <c r="Q2501" s="1">
        <f t="shared" si="1414"/>
        <v>0</v>
      </c>
      <c r="R2501" s="1">
        <v>4700</v>
      </c>
      <c r="S2501" s="1">
        <f t="shared" si="1411"/>
        <v>17629700</v>
      </c>
      <c r="T2501" s="1">
        <v>0</v>
      </c>
      <c r="U2501" s="1">
        <v>50000</v>
      </c>
      <c r="V2501" s="1">
        <v>0</v>
      </c>
      <c r="W2501" s="1">
        <v>50000</v>
      </c>
      <c r="X2501" s="1">
        <v>0</v>
      </c>
      <c r="Y2501" s="1">
        <v>0</v>
      </c>
      <c r="Z2501" s="1">
        <v>0</v>
      </c>
      <c r="AA2501" s="1">
        <v>0</v>
      </c>
      <c r="AB2501" s="1">
        <v>0</v>
      </c>
      <c r="AC2501" s="1">
        <v>0</v>
      </c>
      <c r="AD2501" s="1">
        <v>0</v>
      </c>
    </row>
    <row r="2502" spans="1:30" s="20" customFormat="1" ht="36" customHeight="1" x14ac:dyDescent="0.25">
      <c r="A2502" s="2">
        <f t="shared" si="1401"/>
        <v>2419</v>
      </c>
      <c r="B2502" s="3">
        <f t="shared" si="1391"/>
        <v>2419</v>
      </c>
      <c r="C2502" s="19" t="s">
        <v>2601</v>
      </c>
      <c r="D2502" s="4">
        <f t="shared" si="1403"/>
        <v>41988182.75</v>
      </c>
      <c r="E2502" s="1">
        <f t="shared" si="1405"/>
        <v>24154410.75</v>
      </c>
      <c r="F2502" s="1">
        <f>804*6153.99</f>
        <v>4947807.96</v>
      </c>
      <c r="G2502" s="1">
        <f>1693*6153.99</f>
        <v>10418705.07</v>
      </c>
      <c r="H2502" s="1">
        <f>390*6153.99</f>
        <v>2400056.1</v>
      </c>
      <c r="I2502" s="1">
        <f>571*6153.99</f>
        <v>3513928.29</v>
      </c>
      <c r="J2502" s="1">
        <f>467*6153.99</f>
        <v>2873913.33</v>
      </c>
      <c r="K2502" s="1">
        <v>0</v>
      </c>
      <c r="L2502" s="2">
        <v>0</v>
      </c>
      <c r="M2502" s="1">
        <v>0</v>
      </c>
      <c r="N2502" s="1">
        <v>1229</v>
      </c>
      <c r="O2502" s="1">
        <f t="shared" ref="O2502:O2509" si="1416">N2502*4968</f>
        <v>6105672</v>
      </c>
      <c r="P2502" s="1">
        <v>0</v>
      </c>
      <c r="Q2502" s="1">
        <f t="shared" si="1412"/>
        <v>0</v>
      </c>
      <c r="R2502" s="1">
        <v>3100</v>
      </c>
      <c r="S2502" s="1">
        <f t="shared" si="1411"/>
        <v>11628100</v>
      </c>
      <c r="T2502" s="1">
        <v>0</v>
      </c>
      <c r="U2502" s="1">
        <v>50000</v>
      </c>
      <c r="V2502" s="1">
        <v>0</v>
      </c>
      <c r="W2502" s="1">
        <v>50000</v>
      </c>
      <c r="X2502" s="1">
        <v>0</v>
      </c>
      <c r="Y2502" s="1">
        <v>0</v>
      </c>
      <c r="Z2502" s="1">
        <v>0</v>
      </c>
      <c r="AA2502" s="1">
        <v>0</v>
      </c>
      <c r="AB2502" s="1">
        <v>0</v>
      </c>
      <c r="AC2502" s="1">
        <v>0</v>
      </c>
      <c r="AD2502" s="1">
        <v>0</v>
      </c>
    </row>
    <row r="2503" spans="1:30" s="20" customFormat="1" ht="36" customHeight="1" x14ac:dyDescent="0.25">
      <c r="A2503" s="2">
        <f t="shared" si="1401"/>
        <v>2420</v>
      </c>
      <c r="B2503" s="3">
        <f t="shared" si="1391"/>
        <v>2420</v>
      </c>
      <c r="C2503" s="19" t="s">
        <v>2602</v>
      </c>
      <c r="D2503" s="4">
        <f t="shared" si="1403"/>
        <v>42375844.5</v>
      </c>
      <c r="E2503" s="1">
        <f t="shared" si="1405"/>
        <v>24492392.500000004</v>
      </c>
      <c r="F2503" s="1">
        <f>804*6240.1</f>
        <v>5017040.4000000004</v>
      </c>
      <c r="G2503" s="1">
        <f>1693*6240.1</f>
        <v>10564489.300000001</v>
      </c>
      <c r="H2503" s="1">
        <f>390*6240.1</f>
        <v>2433639</v>
      </c>
      <c r="I2503" s="1">
        <f>571*6240.1</f>
        <v>3563097.1</v>
      </c>
      <c r="J2503" s="1">
        <f>467*6240.1</f>
        <v>2914126.7</v>
      </c>
      <c r="K2503" s="1">
        <v>0</v>
      </c>
      <c r="L2503" s="2">
        <v>0</v>
      </c>
      <c r="M2503" s="1">
        <v>0</v>
      </c>
      <c r="N2503" s="1">
        <v>1239</v>
      </c>
      <c r="O2503" s="1">
        <f t="shared" si="1416"/>
        <v>6155352</v>
      </c>
      <c r="P2503" s="1">
        <v>0</v>
      </c>
      <c r="Q2503" s="1">
        <f t="shared" si="1412"/>
        <v>0</v>
      </c>
      <c r="R2503" s="1">
        <v>3100</v>
      </c>
      <c r="S2503" s="1">
        <f t="shared" si="1411"/>
        <v>11628100</v>
      </c>
      <c r="T2503" s="1">
        <v>0</v>
      </c>
      <c r="U2503" s="1">
        <v>50000</v>
      </c>
      <c r="V2503" s="1">
        <v>0</v>
      </c>
      <c r="W2503" s="1">
        <v>50000</v>
      </c>
      <c r="X2503" s="1">
        <v>0</v>
      </c>
      <c r="Y2503" s="1">
        <v>0</v>
      </c>
      <c r="Z2503" s="1">
        <v>0</v>
      </c>
      <c r="AA2503" s="1">
        <v>0</v>
      </c>
      <c r="AB2503" s="1">
        <v>0</v>
      </c>
      <c r="AC2503" s="1">
        <v>0</v>
      </c>
      <c r="AD2503" s="1">
        <v>0</v>
      </c>
    </row>
    <row r="2504" spans="1:30" s="20" customFormat="1" ht="36" customHeight="1" x14ac:dyDescent="0.25">
      <c r="A2504" s="2">
        <f t="shared" si="1401"/>
        <v>2421</v>
      </c>
      <c r="B2504" s="3">
        <f t="shared" si="1391"/>
        <v>2421</v>
      </c>
      <c r="C2504" s="19" t="s">
        <v>2603</v>
      </c>
      <c r="D2504" s="4">
        <f t="shared" si="1403"/>
        <v>42110929.5</v>
      </c>
      <c r="E2504" s="1">
        <f t="shared" si="1405"/>
        <v>24222509.500000004</v>
      </c>
      <c r="F2504" s="1">
        <f>804*6171.34</f>
        <v>4961757.3600000003</v>
      </c>
      <c r="G2504" s="1">
        <f>1693*6171.34</f>
        <v>10448078.620000001</v>
      </c>
      <c r="H2504" s="1">
        <f>390*6171.34</f>
        <v>2406822.6</v>
      </c>
      <c r="I2504" s="1">
        <f>571*6171.34</f>
        <v>3523835.14</v>
      </c>
      <c r="J2504" s="1">
        <f>467*6171.34</f>
        <v>2882015.7800000003</v>
      </c>
      <c r="K2504" s="1">
        <v>0</v>
      </c>
      <c r="L2504" s="2">
        <v>0</v>
      </c>
      <c r="M2504" s="1">
        <v>0</v>
      </c>
      <c r="N2504" s="1">
        <v>1240</v>
      </c>
      <c r="O2504" s="1">
        <f t="shared" si="1416"/>
        <v>6160320</v>
      </c>
      <c r="P2504" s="1">
        <v>0</v>
      </c>
      <c r="Q2504" s="1">
        <f t="shared" si="1412"/>
        <v>0</v>
      </c>
      <c r="R2504" s="1">
        <v>3100</v>
      </c>
      <c r="S2504" s="1">
        <f t="shared" si="1411"/>
        <v>11628100</v>
      </c>
      <c r="T2504" s="1">
        <v>0</v>
      </c>
      <c r="U2504" s="1">
        <v>50000</v>
      </c>
      <c r="V2504" s="1">
        <v>0</v>
      </c>
      <c r="W2504" s="1">
        <v>50000</v>
      </c>
      <c r="X2504" s="1">
        <v>0</v>
      </c>
      <c r="Y2504" s="1">
        <v>0</v>
      </c>
      <c r="Z2504" s="1">
        <v>0</v>
      </c>
      <c r="AA2504" s="1">
        <v>0</v>
      </c>
      <c r="AB2504" s="1">
        <v>0</v>
      </c>
      <c r="AC2504" s="1">
        <v>0</v>
      </c>
      <c r="AD2504" s="1">
        <v>0</v>
      </c>
    </row>
    <row r="2505" spans="1:30" s="20" customFormat="1" ht="36" customHeight="1" x14ac:dyDescent="0.25">
      <c r="A2505" s="2">
        <f t="shared" si="1401"/>
        <v>2422</v>
      </c>
      <c r="B2505" s="6">
        <f>A2505</f>
        <v>2422</v>
      </c>
      <c r="C2505" s="30" t="s">
        <v>2158</v>
      </c>
      <c r="D2505" s="4">
        <f t="shared" si="1403"/>
        <v>5074276.4000000004</v>
      </c>
      <c r="E2505" s="1">
        <f>SUM(F2505:K2505)</f>
        <v>1648376.4000000001</v>
      </c>
      <c r="F2505" s="1">
        <f>804*992.4</f>
        <v>797889.6</v>
      </c>
      <c r="G2505" s="1">
        <v>0</v>
      </c>
      <c r="H2505" s="1">
        <f>390*992.4</f>
        <v>387036</v>
      </c>
      <c r="I2505" s="1">
        <v>0</v>
      </c>
      <c r="J2505" s="1">
        <f>467*992.4</f>
        <v>463450.8</v>
      </c>
      <c r="K2505" s="1">
        <v>0</v>
      </c>
      <c r="L2505" s="2">
        <v>0</v>
      </c>
      <c r="M2505" s="1">
        <v>0</v>
      </c>
      <c r="N2505" s="1">
        <v>0</v>
      </c>
      <c r="O2505" s="1">
        <v>0</v>
      </c>
      <c r="P2505" s="1">
        <v>0</v>
      </c>
      <c r="Q2505" s="1">
        <f>P2505*1400</f>
        <v>0</v>
      </c>
      <c r="R2505" s="1">
        <v>900</v>
      </c>
      <c r="S2505" s="1">
        <f>R2505*3751</f>
        <v>3375900</v>
      </c>
      <c r="T2505" s="1">
        <v>0</v>
      </c>
      <c r="U2505" s="1">
        <v>50000</v>
      </c>
      <c r="V2505" s="1">
        <v>0</v>
      </c>
      <c r="W2505" s="1">
        <v>0</v>
      </c>
      <c r="X2505" s="1">
        <v>0</v>
      </c>
      <c r="Y2505" s="1">
        <v>0</v>
      </c>
      <c r="Z2505" s="1">
        <v>0</v>
      </c>
      <c r="AA2505" s="1">
        <v>0</v>
      </c>
      <c r="AB2505" s="1">
        <v>0</v>
      </c>
      <c r="AC2505" s="1">
        <v>0</v>
      </c>
      <c r="AD2505" s="1">
        <v>0</v>
      </c>
    </row>
    <row r="2506" spans="1:30" s="20" customFormat="1" ht="36" customHeight="1" x14ac:dyDescent="0.25">
      <c r="A2506" s="2">
        <f t="shared" si="1401"/>
        <v>2423</v>
      </c>
      <c r="B2506" s="3">
        <f t="shared" si="1391"/>
        <v>2423</v>
      </c>
      <c r="C2506" s="19" t="s">
        <v>1472</v>
      </c>
      <c r="D2506" s="4">
        <f t="shared" si="1403"/>
        <v>10325352.5</v>
      </c>
      <c r="E2506" s="1">
        <f t="shared" si="1405"/>
        <v>6661902.4999999991</v>
      </c>
      <c r="F2506" s="1">
        <f>804*1697.3</f>
        <v>1364629.2</v>
      </c>
      <c r="G2506" s="1">
        <f>1693*1697.3</f>
        <v>2873528.9</v>
      </c>
      <c r="H2506" s="1">
        <f>390*1697.3</f>
        <v>661947</v>
      </c>
      <c r="I2506" s="1">
        <f>571*1697.3</f>
        <v>969158.29999999993</v>
      </c>
      <c r="J2506" s="1">
        <f>467*1697.3</f>
        <v>792639.1</v>
      </c>
      <c r="K2506" s="1">
        <v>0</v>
      </c>
      <c r="L2506" s="2">
        <v>0</v>
      </c>
      <c r="M2506" s="1">
        <v>0</v>
      </c>
      <c r="N2506" s="1">
        <v>0</v>
      </c>
      <c r="O2506" s="1">
        <v>0</v>
      </c>
      <c r="P2506" s="1">
        <v>0</v>
      </c>
      <c r="Q2506" s="1">
        <f t="shared" si="1414"/>
        <v>0</v>
      </c>
      <c r="R2506" s="1">
        <v>950</v>
      </c>
      <c r="S2506" s="1">
        <f t="shared" si="1411"/>
        <v>3563450</v>
      </c>
      <c r="T2506" s="1">
        <v>0</v>
      </c>
      <c r="U2506" s="1">
        <v>50000</v>
      </c>
      <c r="V2506" s="1">
        <v>0</v>
      </c>
      <c r="W2506" s="1">
        <v>50000</v>
      </c>
      <c r="X2506" s="1">
        <v>0</v>
      </c>
      <c r="Y2506" s="1">
        <v>0</v>
      </c>
      <c r="Z2506" s="1">
        <v>0</v>
      </c>
      <c r="AA2506" s="1">
        <v>0</v>
      </c>
      <c r="AB2506" s="1">
        <v>0</v>
      </c>
      <c r="AC2506" s="1">
        <v>0</v>
      </c>
      <c r="AD2506" s="1">
        <v>0</v>
      </c>
    </row>
    <row r="2507" spans="1:30" s="20" customFormat="1" ht="36" customHeight="1" x14ac:dyDescent="0.25">
      <c r="A2507" s="2">
        <f t="shared" si="1401"/>
        <v>2424</v>
      </c>
      <c r="B2507" s="6">
        <f>A2507</f>
        <v>2424</v>
      </c>
      <c r="C2507" s="30" t="s">
        <v>2159</v>
      </c>
      <c r="D2507" s="4">
        <f t="shared" si="1403"/>
        <v>5397215.5999999996</v>
      </c>
      <c r="E2507" s="1">
        <f>SUM(F2507:K2507)</f>
        <v>1691757.5999999999</v>
      </c>
      <c r="F2507" s="1">
        <f>804*504.4</f>
        <v>405537.6</v>
      </c>
      <c r="G2507" s="1">
        <f>1693*504.4</f>
        <v>853949.2</v>
      </c>
      <c r="H2507" s="1">
        <f>390*504.4</f>
        <v>196716</v>
      </c>
      <c r="I2507" s="1">
        <v>0</v>
      </c>
      <c r="J2507" s="1">
        <f>467*504.4</f>
        <v>235554.8</v>
      </c>
      <c r="K2507" s="1">
        <v>0</v>
      </c>
      <c r="L2507" s="2">
        <v>0</v>
      </c>
      <c r="M2507" s="1">
        <v>0</v>
      </c>
      <c r="N2507" s="1">
        <v>250</v>
      </c>
      <c r="O2507" s="1">
        <f>N2507*7750</f>
        <v>1937500</v>
      </c>
      <c r="P2507" s="1">
        <v>0</v>
      </c>
      <c r="Q2507" s="1">
        <f>P2507*1400</f>
        <v>0</v>
      </c>
      <c r="R2507" s="1">
        <v>458</v>
      </c>
      <c r="S2507" s="1">
        <f>R2507*3751</f>
        <v>1717958</v>
      </c>
      <c r="T2507" s="1">
        <v>0</v>
      </c>
      <c r="U2507" s="1">
        <v>50000</v>
      </c>
      <c r="V2507" s="1">
        <v>0</v>
      </c>
      <c r="W2507" s="1">
        <v>0</v>
      </c>
      <c r="X2507" s="1">
        <v>0</v>
      </c>
      <c r="Y2507" s="1">
        <v>0</v>
      </c>
      <c r="Z2507" s="1">
        <v>0</v>
      </c>
      <c r="AA2507" s="1">
        <v>0</v>
      </c>
      <c r="AB2507" s="1">
        <v>0</v>
      </c>
      <c r="AC2507" s="1">
        <v>0</v>
      </c>
      <c r="AD2507" s="1">
        <v>0</v>
      </c>
    </row>
    <row r="2508" spans="1:30" s="20" customFormat="1" ht="36" customHeight="1" x14ac:dyDescent="0.25">
      <c r="A2508" s="2">
        <f t="shared" si="1401"/>
        <v>2425</v>
      </c>
      <c r="B2508" s="3">
        <f t="shared" si="1391"/>
        <v>2425</v>
      </c>
      <c r="C2508" s="19" t="s">
        <v>1473</v>
      </c>
      <c r="D2508" s="4">
        <f t="shared" si="1403"/>
        <v>26592392</v>
      </c>
      <c r="E2508" s="1">
        <f t="shared" si="1405"/>
        <v>14304270.000000002</v>
      </c>
      <c r="F2508" s="1">
        <f>804*3644.4</f>
        <v>2930097.6</v>
      </c>
      <c r="G2508" s="1">
        <f>1693*3644.4</f>
        <v>6169969.2000000002</v>
      </c>
      <c r="H2508" s="1">
        <f>390*3644.4</f>
        <v>1421316</v>
      </c>
      <c r="I2508" s="1">
        <f>571*3644.4</f>
        <v>2080952.4000000001</v>
      </c>
      <c r="J2508" s="1">
        <f>467*3644.4</f>
        <v>1701934.8</v>
      </c>
      <c r="K2508" s="1">
        <v>0</v>
      </c>
      <c r="L2508" s="2">
        <v>0</v>
      </c>
      <c r="M2508" s="1">
        <v>0</v>
      </c>
      <c r="N2508" s="1">
        <v>679</v>
      </c>
      <c r="O2508" s="1">
        <f t="shared" si="1416"/>
        <v>3373272</v>
      </c>
      <c r="P2508" s="1">
        <v>0</v>
      </c>
      <c r="Q2508" s="1">
        <f t="shared" si="1412"/>
        <v>0</v>
      </c>
      <c r="R2508" s="1">
        <v>2350</v>
      </c>
      <c r="S2508" s="1">
        <f t="shared" si="1411"/>
        <v>8814850</v>
      </c>
      <c r="T2508" s="1">
        <v>0</v>
      </c>
      <c r="U2508" s="1">
        <v>50000</v>
      </c>
      <c r="V2508" s="1">
        <v>0</v>
      </c>
      <c r="W2508" s="1">
        <v>50000</v>
      </c>
      <c r="X2508" s="1">
        <v>0</v>
      </c>
      <c r="Y2508" s="1">
        <v>0</v>
      </c>
      <c r="Z2508" s="1">
        <v>0</v>
      </c>
      <c r="AA2508" s="1">
        <v>0</v>
      </c>
      <c r="AB2508" s="1">
        <v>0</v>
      </c>
      <c r="AC2508" s="1">
        <v>0</v>
      </c>
      <c r="AD2508" s="1">
        <v>0</v>
      </c>
    </row>
    <row r="2509" spans="1:30" s="20" customFormat="1" ht="36" customHeight="1" x14ac:dyDescent="0.25">
      <c r="A2509" s="2">
        <f t="shared" si="1401"/>
        <v>2426</v>
      </c>
      <c r="B2509" s="3">
        <f t="shared" si="1391"/>
        <v>2426</v>
      </c>
      <c r="C2509" s="30" t="s">
        <v>1474</v>
      </c>
      <c r="D2509" s="4">
        <f t="shared" si="1403"/>
        <v>34425852.5</v>
      </c>
      <c r="E2509" s="1">
        <f t="shared" si="1405"/>
        <v>19802802.500000004</v>
      </c>
      <c r="F2509" s="1">
        <f>804*5045.3</f>
        <v>4056421.2</v>
      </c>
      <c r="G2509" s="1">
        <f>1693*5045.3</f>
        <v>8541692.9000000004</v>
      </c>
      <c r="H2509" s="1">
        <f>390*5045.3</f>
        <v>1967667</v>
      </c>
      <c r="I2509" s="1">
        <f>571*5045.3</f>
        <v>2880866.3000000003</v>
      </c>
      <c r="J2509" s="1">
        <f>467*5045.3</f>
        <v>2356155.1</v>
      </c>
      <c r="K2509" s="1">
        <v>0</v>
      </c>
      <c r="L2509" s="2">
        <v>0</v>
      </c>
      <c r="M2509" s="1">
        <v>0</v>
      </c>
      <c r="N2509" s="1">
        <v>1300</v>
      </c>
      <c r="O2509" s="1">
        <f t="shared" si="1416"/>
        <v>6458400</v>
      </c>
      <c r="P2509" s="1">
        <v>0</v>
      </c>
      <c r="Q2509" s="1">
        <f t="shared" si="1412"/>
        <v>0</v>
      </c>
      <c r="R2509" s="1">
        <v>2150</v>
      </c>
      <c r="S2509" s="1">
        <f t="shared" si="1411"/>
        <v>8064650</v>
      </c>
      <c r="T2509" s="1">
        <v>0</v>
      </c>
      <c r="U2509" s="1">
        <v>50000</v>
      </c>
      <c r="V2509" s="1">
        <v>0</v>
      </c>
      <c r="W2509" s="1">
        <v>50000</v>
      </c>
      <c r="X2509" s="1">
        <v>0</v>
      </c>
      <c r="Y2509" s="1">
        <v>0</v>
      </c>
      <c r="Z2509" s="1">
        <v>0</v>
      </c>
      <c r="AA2509" s="1">
        <v>0</v>
      </c>
      <c r="AB2509" s="1">
        <v>0</v>
      </c>
      <c r="AC2509" s="1">
        <v>0</v>
      </c>
      <c r="AD2509" s="1">
        <v>0</v>
      </c>
    </row>
    <row r="2510" spans="1:30" s="20" customFormat="1" ht="36" customHeight="1" x14ac:dyDescent="0.25">
      <c r="A2510" s="2">
        <f t="shared" si="1401"/>
        <v>2427</v>
      </c>
      <c r="B2510" s="6">
        <f>A2510</f>
        <v>2427</v>
      </c>
      <c r="C2510" s="30" t="s">
        <v>967</v>
      </c>
      <c r="D2510" s="4">
        <f t="shared" si="1403"/>
        <v>27717711.75</v>
      </c>
      <c r="E2510" s="1">
        <f>SUM(F2510:K2510)</f>
        <v>18477761.75</v>
      </c>
      <c r="F2510" s="1">
        <f>804*4707.71</f>
        <v>3784998.84</v>
      </c>
      <c r="G2510" s="1">
        <f>1693*4707.71</f>
        <v>7970153.0300000003</v>
      </c>
      <c r="H2510" s="1">
        <f>390*4707.71</f>
        <v>1836006.9</v>
      </c>
      <c r="I2510" s="1">
        <f>571*4707.71</f>
        <v>2688102.41</v>
      </c>
      <c r="J2510" s="1">
        <f>467*4707.71</f>
        <v>2198500.5699999998</v>
      </c>
      <c r="K2510" s="1">
        <v>0</v>
      </c>
      <c r="L2510" s="2">
        <v>0</v>
      </c>
      <c r="M2510" s="1">
        <v>0</v>
      </c>
      <c r="N2510" s="1">
        <v>0</v>
      </c>
      <c r="O2510" s="1">
        <v>0</v>
      </c>
      <c r="P2510" s="1">
        <v>0</v>
      </c>
      <c r="Q2510" s="1">
        <f>P2510*1400</f>
        <v>0</v>
      </c>
      <c r="R2510" s="1">
        <v>2450</v>
      </c>
      <c r="S2510" s="1">
        <f>R2510*3751</f>
        <v>9189950</v>
      </c>
      <c r="T2510" s="1">
        <v>0</v>
      </c>
      <c r="U2510" s="1">
        <v>50000</v>
      </c>
      <c r="V2510" s="1">
        <v>0</v>
      </c>
      <c r="W2510" s="1">
        <v>0</v>
      </c>
      <c r="X2510" s="1">
        <v>0</v>
      </c>
      <c r="Y2510" s="1">
        <v>0</v>
      </c>
      <c r="Z2510" s="1">
        <v>0</v>
      </c>
      <c r="AA2510" s="1">
        <v>0</v>
      </c>
      <c r="AB2510" s="1">
        <v>0</v>
      </c>
      <c r="AC2510" s="1">
        <v>0</v>
      </c>
      <c r="AD2510" s="1">
        <v>0</v>
      </c>
    </row>
    <row r="2511" spans="1:30" s="20" customFormat="1" ht="36" customHeight="1" x14ac:dyDescent="0.25">
      <c r="A2511" s="2">
        <f t="shared" si="1401"/>
        <v>2428</v>
      </c>
      <c r="B2511" s="3">
        <f t="shared" si="1391"/>
        <v>2428</v>
      </c>
      <c r="C2511" s="19" t="s">
        <v>1475</v>
      </c>
      <c r="D2511" s="4">
        <f t="shared" si="1403"/>
        <v>19180481.5</v>
      </c>
      <c r="E2511" s="1">
        <f t="shared" si="1405"/>
        <v>9251931.5</v>
      </c>
      <c r="F2511" s="1">
        <f>804*2357.18</f>
        <v>1895172.72</v>
      </c>
      <c r="G2511" s="1">
        <f>1693*2357.18</f>
        <v>3990705.7399999998</v>
      </c>
      <c r="H2511" s="1">
        <f>390*2357.18</f>
        <v>919300.2</v>
      </c>
      <c r="I2511" s="1">
        <f>571*2357.18</f>
        <v>1345949.7799999998</v>
      </c>
      <c r="J2511" s="1">
        <f>467*2357.18</f>
        <v>1100803.0599999998</v>
      </c>
      <c r="K2511" s="1">
        <v>0</v>
      </c>
      <c r="L2511" s="2">
        <v>0</v>
      </c>
      <c r="M2511" s="1">
        <v>0</v>
      </c>
      <c r="N2511" s="1">
        <v>760</v>
      </c>
      <c r="O2511" s="1">
        <f>N2511*7750</f>
        <v>5890000</v>
      </c>
      <c r="P2511" s="1">
        <v>0</v>
      </c>
      <c r="Q2511" s="1">
        <f t="shared" si="1412"/>
        <v>0</v>
      </c>
      <c r="R2511" s="1">
        <v>1050</v>
      </c>
      <c r="S2511" s="1">
        <f t="shared" si="1411"/>
        <v>3938550</v>
      </c>
      <c r="T2511" s="1">
        <v>0</v>
      </c>
      <c r="U2511" s="1">
        <v>50000</v>
      </c>
      <c r="V2511" s="1">
        <v>0</v>
      </c>
      <c r="W2511" s="1">
        <v>50000</v>
      </c>
      <c r="X2511" s="1">
        <v>0</v>
      </c>
      <c r="Y2511" s="1">
        <v>0</v>
      </c>
      <c r="Z2511" s="1">
        <v>0</v>
      </c>
      <c r="AA2511" s="1">
        <v>0</v>
      </c>
      <c r="AB2511" s="1">
        <v>0</v>
      </c>
      <c r="AC2511" s="1">
        <v>0</v>
      </c>
      <c r="AD2511" s="1">
        <v>0</v>
      </c>
    </row>
    <row r="2512" spans="1:30" s="20" customFormat="1" ht="36" customHeight="1" x14ac:dyDescent="0.25">
      <c r="A2512" s="2">
        <f t="shared" si="1401"/>
        <v>2429</v>
      </c>
      <c r="B2512" s="6">
        <f>A2512</f>
        <v>2429</v>
      </c>
      <c r="C2512" s="19" t="s">
        <v>1946</v>
      </c>
      <c r="D2512" s="4">
        <f t="shared" si="1403"/>
        <v>7200000</v>
      </c>
      <c r="E2512" s="1">
        <f>SUM(F2512:K2512)</f>
        <v>0</v>
      </c>
      <c r="F2512" s="1">
        <v>0</v>
      </c>
      <c r="G2512" s="1">
        <v>0</v>
      </c>
      <c r="H2512" s="1">
        <v>0</v>
      </c>
      <c r="I2512" s="1">
        <v>0</v>
      </c>
      <c r="J2512" s="1">
        <v>0</v>
      </c>
      <c r="K2512" s="1">
        <v>0</v>
      </c>
      <c r="L2512" s="2">
        <v>2</v>
      </c>
      <c r="M2512" s="1">
        <f t="shared" ref="M2512" si="1417">L2512*3500000</f>
        <v>7000000</v>
      </c>
      <c r="N2512" s="1">
        <v>0</v>
      </c>
      <c r="O2512" s="1">
        <v>0</v>
      </c>
      <c r="P2512" s="1">
        <v>0</v>
      </c>
      <c r="Q2512" s="1">
        <f>P2512*1400</f>
        <v>0</v>
      </c>
      <c r="R2512" s="1">
        <v>0</v>
      </c>
      <c r="S2512" s="1">
        <f>R2512*3751</f>
        <v>0</v>
      </c>
      <c r="T2512" s="1">
        <v>0</v>
      </c>
      <c r="U2512" s="1">
        <v>200000</v>
      </c>
      <c r="V2512" s="1">
        <v>0</v>
      </c>
      <c r="W2512" s="1">
        <v>0</v>
      </c>
      <c r="X2512" s="1">
        <v>0</v>
      </c>
      <c r="Y2512" s="1">
        <v>0</v>
      </c>
      <c r="Z2512" s="1">
        <v>0</v>
      </c>
      <c r="AA2512" s="1">
        <v>0</v>
      </c>
      <c r="AB2512" s="1">
        <v>0</v>
      </c>
      <c r="AC2512" s="1">
        <v>0</v>
      </c>
      <c r="AD2512" s="1">
        <v>0</v>
      </c>
    </row>
    <row r="2513" spans="1:30" s="20" customFormat="1" ht="36" customHeight="1" x14ac:dyDescent="0.25">
      <c r="A2513" s="2">
        <f t="shared" si="1401"/>
        <v>2430</v>
      </c>
      <c r="B2513" s="6">
        <f>A2513</f>
        <v>2430</v>
      </c>
      <c r="C2513" s="19" t="s">
        <v>971</v>
      </c>
      <c r="D2513" s="4">
        <f t="shared" si="1403"/>
        <v>30575052.02</v>
      </c>
      <c r="E2513" s="1">
        <f>SUM(F2513:K2513)</f>
        <v>14436052.02</v>
      </c>
      <c r="F2513" s="1">
        <f>804*4304.13</f>
        <v>3460520.52</v>
      </c>
      <c r="G2513" s="1">
        <f>1693*4304.13</f>
        <v>7286892.0899999999</v>
      </c>
      <c r="H2513" s="1">
        <f>390*4304.13</f>
        <v>1678610.7</v>
      </c>
      <c r="I2513" s="1">
        <v>0</v>
      </c>
      <c r="J2513" s="1">
        <f>467*4304.13</f>
        <v>2010028.71</v>
      </c>
      <c r="K2513" s="1">
        <v>0</v>
      </c>
      <c r="L2513" s="2">
        <v>0</v>
      </c>
      <c r="M2513" s="1">
        <v>0</v>
      </c>
      <c r="N2513" s="1">
        <v>1108</v>
      </c>
      <c r="O2513" s="1">
        <f>N2513*7750</f>
        <v>8587000</v>
      </c>
      <c r="P2513" s="1">
        <v>0</v>
      </c>
      <c r="Q2513" s="1">
        <f>P2513*1400</f>
        <v>0</v>
      </c>
      <c r="R2513" s="1">
        <v>2000</v>
      </c>
      <c r="S2513" s="1">
        <f>R2513*3751</f>
        <v>7502000</v>
      </c>
      <c r="T2513" s="1">
        <v>0</v>
      </c>
      <c r="U2513" s="1">
        <v>50000</v>
      </c>
      <c r="V2513" s="1">
        <v>0</v>
      </c>
      <c r="W2513" s="1">
        <v>0</v>
      </c>
      <c r="X2513" s="1">
        <v>0</v>
      </c>
      <c r="Y2513" s="1">
        <v>0</v>
      </c>
      <c r="Z2513" s="1">
        <v>0</v>
      </c>
      <c r="AA2513" s="1">
        <v>0</v>
      </c>
      <c r="AB2513" s="1">
        <v>0</v>
      </c>
      <c r="AC2513" s="1">
        <v>0</v>
      </c>
      <c r="AD2513" s="1">
        <v>0</v>
      </c>
    </row>
    <row r="2514" spans="1:30" s="20" customFormat="1" ht="36" customHeight="1" x14ac:dyDescent="0.25">
      <c r="A2514" s="2">
        <f t="shared" si="1401"/>
        <v>2431</v>
      </c>
      <c r="B2514" s="3">
        <f t="shared" si="1391"/>
        <v>2431</v>
      </c>
      <c r="C2514" s="19" t="s">
        <v>1476</v>
      </c>
      <c r="D2514" s="4">
        <f t="shared" si="1403"/>
        <v>3423272</v>
      </c>
      <c r="E2514" s="1">
        <f t="shared" si="1405"/>
        <v>0</v>
      </c>
      <c r="F2514" s="1">
        <v>0</v>
      </c>
      <c r="G2514" s="1">
        <v>0</v>
      </c>
      <c r="H2514" s="1">
        <v>0</v>
      </c>
      <c r="I2514" s="1">
        <v>0</v>
      </c>
      <c r="J2514" s="1">
        <v>0</v>
      </c>
      <c r="K2514" s="1">
        <v>0</v>
      </c>
      <c r="L2514" s="2">
        <v>0</v>
      </c>
      <c r="M2514" s="1">
        <v>0</v>
      </c>
      <c r="N2514" s="1">
        <v>679</v>
      </c>
      <c r="O2514" s="1">
        <f>N2514*4968</f>
        <v>3373272</v>
      </c>
      <c r="P2514" s="1">
        <v>0</v>
      </c>
      <c r="Q2514" s="1">
        <f t="shared" si="1414"/>
        <v>0</v>
      </c>
      <c r="R2514" s="1">
        <v>0</v>
      </c>
      <c r="S2514" s="1">
        <f t="shared" si="1415"/>
        <v>0</v>
      </c>
      <c r="T2514" s="1">
        <v>0</v>
      </c>
      <c r="U2514" s="1">
        <v>0</v>
      </c>
      <c r="V2514" s="1">
        <v>0</v>
      </c>
      <c r="W2514" s="1">
        <v>50000</v>
      </c>
      <c r="X2514" s="1">
        <v>0</v>
      </c>
      <c r="Y2514" s="1">
        <v>0</v>
      </c>
      <c r="Z2514" s="1">
        <v>0</v>
      </c>
      <c r="AA2514" s="1">
        <v>0</v>
      </c>
      <c r="AB2514" s="1">
        <v>0</v>
      </c>
      <c r="AC2514" s="1">
        <v>0</v>
      </c>
      <c r="AD2514" s="1">
        <v>0</v>
      </c>
    </row>
    <row r="2515" spans="1:30" s="20" customFormat="1" ht="36" customHeight="1" x14ac:dyDescent="0.25">
      <c r="A2515" s="2">
        <f t="shared" si="1401"/>
        <v>2432</v>
      </c>
      <c r="B2515" s="6">
        <f>A2515</f>
        <v>2432</v>
      </c>
      <c r="C2515" s="19" t="s">
        <v>974</v>
      </c>
      <c r="D2515" s="4">
        <f t="shared" si="1403"/>
        <v>18524656.25</v>
      </c>
      <c r="E2515" s="1">
        <f>SUM(F2515:K2515)</f>
        <v>9627907.25</v>
      </c>
      <c r="F2515" s="1">
        <f>804*2452.97</f>
        <v>1972187.88</v>
      </c>
      <c r="G2515" s="1">
        <f>1693*2452.97</f>
        <v>4152878.2099999995</v>
      </c>
      <c r="H2515" s="1">
        <f>390*2452.97</f>
        <v>956658.29999999993</v>
      </c>
      <c r="I2515" s="1">
        <f>571*2452.97</f>
        <v>1400645.8699999999</v>
      </c>
      <c r="J2515" s="1">
        <f>467*2452.97</f>
        <v>1145536.99</v>
      </c>
      <c r="K2515" s="1">
        <v>0</v>
      </c>
      <c r="L2515" s="2">
        <v>0</v>
      </c>
      <c r="M2515" s="1">
        <v>0</v>
      </c>
      <c r="N2515" s="1">
        <v>658</v>
      </c>
      <c r="O2515" s="1">
        <f>N2515*7750</f>
        <v>5099500</v>
      </c>
      <c r="P2515" s="1">
        <v>0</v>
      </c>
      <c r="Q2515" s="1">
        <f>P2515*1400</f>
        <v>0</v>
      </c>
      <c r="R2515" s="1">
        <v>999</v>
      </c>
      <c r="S2515" s="1">
        <f>R2515*3751</f>
        <v>3747249</v>
      </c>
      <c r="T2515" s="1">
        <v>0</v>
      </c>
      <c r="U2515" s="1">
        <v>50000</v>
      </c>
      <c r="V2515" s="1">
        <v>0</v>
      </c>
      <c r="W2515" s="1">
        <v>0</v>
      </c>
      <c r="X2515" s="1">
        <v>0</v>
      </c>
      <c r="Y2515" s="1">
        <v>0</v>
      </c>
      <c r="Z2515" s="1">
        <v>0</v>
      </c>
      <c r="AA2515" s="1">
        <v>0</v>
      </c>
      <c r="AB2515" s="1">
        <v>0</v>
      </c>
      <c r="AC2515" s="1">
        <v>0</v>
      </c>
      <c r="AD2515" s="1">
        <v>0</v>
      </c>
    </row>
    <row r="2516" spans="1:30" s="20" customFormat="1" ht="36" customHeight="1" x14ac:dyDescent="0.25">
      <c r="A2516" s="2">
        <f t="shared" si="1401"/>
        <v>2433</v>
      </c>
      <c r="B2516" s="3">
        <f t="shared" ref="B2516:B2609" si="1418">A2516</f>
        <v>2433</v>
      </c>
      <c r="C2516" s="19" t="s">
        <v>1477</v>
      </c>
      <c r="D2516" s="4">
        <f t="shared" si="1403"/>
        <v>24133372.5</v>
      </c>
      <c r="E2516" s="1">
        <f t="shared" si="1405"/>
        <v>13340682.500000002</v>
      </c>
      <c r="F2516" s="1">
        <f>804*3398.9</f>
        <v>2732715.6</v>
      </c>
      <c r="G2516" s="1">
        <f>1693*3398.9</f>
        <v>5754337.7000000002</v>
      </c>
      <c r="H2516" s="1">
        <f>390*3398.9</f>
        <v>1325571</v>
      </c>
      <c r="I2516" s="1">
        <f>571*3398.9</f>
        <v>1940771.9000000001</v>
      </c>
      <c r="J2516" s="1">
        <f>467*3398.9</f>
        <v>1587286.3</v>
      </c>
      <c r="K2516" s="1">
        <v>0</v>
      </c>
      <c r="L2516" s="2">
        <v>0</v>
      </c>
      <c r="M2516" s="1">
        <v>0</v>
      </c>
      <c r="N2516" s="1">
        <v>680</v>
      </c>
      <c r="O2516" s="1">
        <f>N2516*4968</f>
        <v>3378240</v>
      </c>
      <c r="P2516" s="1">
        <v>0</v>
      </c>
      <c r="Q2516" s="1">
        <f t="shared" si="1412"/>
        <v>0</v>
      </c>
      <c r="R2516" s="1">
        <v>1950</v>
      </c>
      <c r="S2516" s="1">
        <f t="shared" si="1411"/>
        <v>7314450</v>
      </c>
      <c r="T2516" s="1">
        <v>0</v>
      </c>
      <c r="U2516" s="1">
        <v>50000</v>
      </c>
      <c r="V2516" s="1">
        <v>0</v>
      </c>
      <c r="W2516" s="1">
        <v>50000</v>
      </c>
      <c r="X2516" s="1">
        <v>0</v>
      </c>
      <c r="Y2516" s="1">
        <v>0</v>
      </c>
      <c r="Z2516" s="1">
        <v>0</v>
      </c>
      <c r="AA2516" s="1">
        <v>0</v>
      </c>
      <c r="AB2516" s="1">
        <v>0</v>
      </c>
      <c r="AC2516" s="1">
        <v>0</v>
      </c>
      <c r="AD2516" s="1">
        <v>0</v>
      </c>
    </row>
    <row r="2517" spans="1:30" s="20" customFormat="1" ht="36" customHeight="1" x14ac:dyDescent="0.25">
      <c r="A2517" s="2">
        <f t="shared" si="1401"/>
        <v>2434</v>
      </c>
      <c r="B2517" s="6">
        <f>A2517</f>
        <v>2434</v>
      </c>
      <c r="C2517" s="19" t="s">
        <v>980</v>
      </c>
      <c r="D2517" s="4">
        <f t="shared" si="1403"/>
        <v>36641083</v>
      </c>
      <c r="E2517" s="1">
        <f>SUM(F2517:K2517)</f>
        <v>19376783</v>
      </c>
      <c r="F2517" s="1">
        <f>804*4936.76</f>
        <v>3969155.04</v>
      </c>
      <c r="G2517" s="1">
        <f>1693*4936.76</f>
        <v>8357934.6800000006</v>
      </c>
      <c r="H2517" s="1">
        <f>390*4936.76</f>
        <v>1925336.4000000001</v>
      </c>
      <c r="I2517" s="1">
        <f>571*4936.76</f>
        <v>2818889.96</v>
      </c>
      <c r="J2517" s="1">
        <f>467*4936.76</f>
        <v>2305466.92</v>
      </c>
      <c r="K2517" s="1">
        <v>0</v>
      </c>
      <c r="L2517" s="2">
        <v>0</v>
      </c>
      <c r="M2517" s="1">
        <v>0</v>
      </c>
      <c r="N2517" s="1">
        <v>1108</v>
      </c>
      <c r="O2517" s="1">
        <f>N2517*7750</f>
        <v>8587000</v>
      </c>
      <c r="P2517" s="1">
        <v>0</v>
      </c>
      <c r="Q2517" s="1">
        <f>P2517*1400</f>
        <v>0</v>
      </c>
      <c r="R2517" s="1">
        <v>2300</v>
      </c>
      <c r="S2517" s="1">
        <f>R2517*3751</f>
        <v>8627300</v>
      </c>
      <c r="T2517" s="1">
        <v>0</v>
      </c>
      <c r="U2517" s="1">
        <v>50000</v>
      </c>
      <c r="V2517" s="1">
        <v>0</v>
      </c>
      <c r="W2517" s="1">
        <v>0</v>
      </c>
      <c r="X2517" s="1">
        <v>0</v>
      </c>
      <c r="Y2517" s="1">
        <v>0</v>
      </c>
      <c r="Z2517" s="1">
        <v>0</v>
      </c>
      <c r="AA2517" s="1">
        <v>0</v>
      </c>
      <c r="AB2517" s="1">
        <v>0</v>
      </c>
      <c r="AC2517" s="1">
        <v>0</v>
      </c>
      <c r="AD2517" s="1">
        <v>0</v>
      </c>
    </row>
    <row r="2518" spans="1:30" s="20" customFormat="1" ht="36" customHeight="1" x14ac:dyDescent="0.25">
      <c r="A2518" s="2">
        <f t="shared" si="1401"/>
        <v>2435</v>
      </c>
      <c r="B2518" s="3">
        <f t="shared" si="1418"/>
        <v>2435</v>
      </c>
      <c r="C2518" s="19" t="s">
        <v>1478</v>
      </c>
      <c r="D2518" s="4">
        <f t="shared" si="1403"/>
        <v>37372267</v>
      </c>
      <c r="E2518" s="1">
        <f t="shared" si="1405"/>
        <v>20870167</v>
      </c>
      <c r="F2518" s="1">
        <f>804*5317.24</f>
        <v>4275060.96</v>
      </c>
      <c r="G2518" s="1">
        <f>1693*5317.24</f>
        <v>9002087.3200000003</v>
      </c>
      <c r="H2518" s="1">
        <f>390*5317.24</f>
        <v>2073723.5999999999</v>
      </c>
      <c r="I2518" s="1">
        <f>571*5317.24</f>
        <v>3036144.04</v>
      </c>
      <c r="J2518" s="1">
        <f>467*5317.24</f>
        <v>2483151.08</v>
      </c>
      <c r="K2518" s="1">
        <v>0</v>
      </c>
      <c r="L2518" s="2">
        <v>0</v>
      </c>
      <c r="M2518" s="1">
        <v>0</v>
      </c>
      <c r="N2518" s="1">
        <v>1100</v>
      </c>
      <c r="O2518" s="1">
        <f>N2518*7750</f>
        <v>8525000</v>
      </c>
      <c r="P2518" s="1">
        <v>0</v>
      </c>
      <c r="Q2518" s="1">
        <f t="shared" si="1412"/>
        <v>0</v>
      </c>
      <c r="R2518" s="1">
        <v>2100</v>
      </c>
      <c r="S2518" s="1">
        <f t="shared" si="1411"/>
        <v>7877100</v>
      </c>
      <c r="T2518" s="1">
        <v>0</v>
      </c>
      <c r="U2518" s="1">
        <v>50000</v>
      </c>
      <c r="V2518" s="1">
        <v>0</v>
      </c>
      <c r="W2518" s="1">
        <v>50000</v>
      </c>
      <c r="X2518" s="1">
        <v>0</v>
      </c>
      <c r="Y2518" s="1">
        <v>0</v>
      </c>
      <c r="Z2518" s="1">
        <v>0</v>
      </c>
      <c r="AA2518" s="1">
        <v>0</v>
      </c>
      <c r="AB2518" s="1">
        <v>0</v>
      </c>
      <c r="AC2518" s="1">
        <v>0</v>
      </c>
      <c r="AD2518" s="1">
        <v>0</v>
      </c>
    </row>
    <row r="2519" spans="1:30" s="20" customFormat="1" ht="36" customHeight="1" x14ac:dyDescent="0.25">
      <c r="A2519" s="2">
        <f t="shared" ref="A2519:A2582" si="1419">ROW()-ROW($A$11)-72</f>
        <v>2436</v>
      </c>
      <c r="B2519" s="6">
        <f>A2519</f>
        <v>2436</v>
      </c>
      <c r="C2519" s="19" t="s">
        <v>983</v>
      </c>
      <c r="D2519" s="4">
        <f t="shared" si="1403"/>
        <v>30372670.25</v>
      </c>
      <c r="E2519" s="1">
        <f>SUM(F2519:K2519)</f>
        <v>16144820.249999998</v>
      </c>
      <c r="F2519" s="1">
        <f>804*4113.33</f>
        <v>3307117.32</v>
      </c>
      <c r="G2519" s="1">
        <f>1693*4113.33</f>
        <v>6963867.6899999995</v>
      </c>
      <c r="H2519" s="1">
        <f>390*4113.33</f>
        <v>1604198.7</v>
      </c>
      <c r="I2519" s="1">
        <f>571*4113.33</f>
        <v>2348711.4300000002</v>
      </c>
      <c r="J2519" s="1">
        <f>467*4113.33</f>
        <v>1920925.1099999999</v>
      </c>
      <c r="K2519" s="1">
        <v>0</v>
      </c>
      <c r="L2519" s="2">
        <v>0</v>
      </c>
      <c r="M2519" s="1">
        <v>0</v>
      </c>
      <c r="N2519" s="1">
        <v>934</v>
      </c>
      <c r="O2519" s="1">
        <f>N2519*7750</f>
        <v>7238500</v>
      </c>
      <c r="P2519" s="1">
        <v>0</v>
      </c>
      <c r="Q2519" s="1">
        <f>P2519*1400</f>
        <v>0</v>
      </c>
      <c r="R2519" s="1">
        <v>1850</v>
      </c>
      <c r="S2519" s="1">
        <f>R2519*3751</f>
        <v>6939350</v>
      </c>
      <c r="T2519" s="1">
        <v>0</v>
      </c>
      <c r="U2519" s="1">
        <v>50000</v>
      </c>
      <c r="V2519" s="1">
        <v>0</v>
      </c>
      <c r="W2519" s="1">
        <v>0</v>
      </c>
      <c r="X2519" s="1">
        <v>0</v>
      </c>
      <c r="Y2519" s="1">
        <v>0</v>
      </c>
      <c r="Z2519" s="1">
        <v>0</v>
      </c>
      <c r="AA2519" s="1">
        <v>0</v>
      </c>
      <c r="AB2519" s="1">
        <v>0</v>
      </c>
      <c r="AC2519" s="1">
        <v>0</v>
      </c>
      <c r="AD2519" s="1">
        <v>0</v>
      </c>
    </row>
    <row r="2520" spans="1:30" s="20" customFormat="1" ht="36" customHeight="1" x14ac:dyDescent="0.25">
      <c r="A2520" s="2">
        <f t="shared" si="1419"/>
        <v>2437</v>
      </c>
      <c r="B2520" s="6">
        <f>A2520</f>
        <v>2437</v>
      </c>
      <c r="C2520" s="19" t="s">
        <v>984</v>
      </c>
      <c r="D2520" s="4">
        <f t="shared" si="1403"/>
        <v>29867023.25</v>
      </c>
      <c r="E2520" s="1">
        <f>SUM(F2520:K2520)</f>
        <v>16251423.249999998</v>
      </c>
      <c r="F2520" s="1">
        <f>804*4140.49</f>
        <v>3328953.96</v>
      </c>
      <c r="G2520" s="1">
        <f>1693*4140.49</f>
        <v>7009849.5699999994</v>
      </c>
      <c r="H2520" s="1">
        <f>390*4140.49</f>
        <v>1614791.0999999999</v>
      </c>
      <c r="I2520" s="1">
        <f>571*4140.49</f>
        <v>2364219.79</v>
      </c>
      <c r="J2520" s="1">
        <f>467*4140.49</f>
        <v>1933608.8299999998</v>
      </c>
      <c r="K2520" s="1">
        <v>0</v>
      </c>
      <c r="L2520" s="2">
        <v>0</v>
      </c>
      <c r="M2520" s="1">
        <v>0</v>
      </c>
      <c r="N2520" s="1">
        <v>855</v>
      </c>
      <c r="O2520" s="1">
        <f>N2520*7750</f>
        <v>6626250</v>
      </c>
      <c r="P2520" s="1">
        <v>0</v>
      </c>
      <c r="Q2520" s="1">
        <f>P2520*1400</f>
        <v>0</v>
      </c>
      <c r="R2520" s="1">
        <v>1850</v>
      </c>
      <c r="S2520" s="1">
        <f>R2520*3751</f>
        <v>6939350</v>
      </c>
      <c r="T2520" s="1">
        <v>0</v>
      </c>
      <c r="U2520" s="1">
        <v>50000</v>
      </c>
      <c r="V2520" s="1">
        <v>0</v>
      </c>
      <c r="W2520" s="1">
        <v>0</v>
      </c>
      <c r="X2520" s="1">
        <v>0</v>
      </c>
      <c r="Y2520" s="1">
        <v>0</v>
      </c>
      <c r="Z2520" s="1">
        <v>0</v>
      </c>
      <c r="AA2520" s="1">
        <v>0</v>
      </c>
      <c r="AB2520" s="1">
        <v>0</v>
      </c>
      <c r="AC2520" s="1">
        <v>0</v>
      </c>
      <c r="AD2520" s="1">
        <v>0</v>
      </c>
    </row>
    <row r="2521" spans="1:30" s="20" customFormat="1" ht="36" customHeight="1" x14ac:dyDescent="0.25">
      <c r="A2521" s="2">
        <f t="shared" si="1419"/>
        <v>2438</v>
      </c>
      <c r="B2521" s="6">
        <f>A2521</f>
        <v>2438</v>
      </c>
      <c r="C2521" s="19" t="s">
        <v>1947</v>
      </c>
      <c r="D2521" s="4">
        <f t="shared" si="1403"/>
        <v>3700000</v>
      </c>
      <c r="E2521" s="1">
        <f>SUM(F2521:K2521)</f>
        <v>0</v>
      </c>
      <c r="F2521" s="1">
        <v>0</v>
      </c>
      <c r="G2521" s="1">
        <v>0</v>
      </c>
      <c r="H2521" s="1">
        <v>0</v>
      </c>
      <c r="I2521" s="1">
        <v>0</v>
      </c>
      <c r="J2521" s="1">
        <v>0</v>
      </c>
      <c r="K2521" s="1">
        <v>0</v>
      </c>
      <c r="L2521" s="2">
        <v>1</v>
      </c>
      <c r="M2521" s="1">
        <f t="shared" ref="M2521" si="1420">L2521*3500000</f>
        <v>3500000</v>
      </c>
      <c r="N2521" s="1">
        <v>0</v>
      </c>
      <c r="O2521" s="1">
        <v>0</v>
      </c>
      <c r="P2521" s="1">
        <v>0</v>
      </c>
      <c r="Q2521" s="1">
        <f>P2521*1400</f>
        <v>0</v>
      </c>
      <c r="R2521" s="1">
        <v>0</v>
      </c>
      <c r="S2521" s="1">
        <f>R2521*3751</f>
        <v>0</v>
      </c>
      <c r="T2521" s="1">
        <v>0</v>
      </c>
      <c r="U2521" s="1">
        <v>200000</v>
      </c>
      <c r="V2521" s="1">
        <v>0</v>
      </c>
      <c r="W2521" s="1">
        <v>0</v>
      </c>
      <c r="X2521" s="1">
        <v>0</v>
      </c>
      <c r="Y2521" s="1">
        <v>0</v>
      </c>
      <c r="Z2521" s="1">
        <v>0</v>
      </c>
      <c r="AA2521" s="1">
        <v>0</v>
      </c>
      <c r="AB2521" s="1">
        <v>0</v>
      </c>
      <c r="AC2521" s="1">
        <v>0</v>
      </c>
      <c r="AD2521" s="1">
        <v>0</v>
      </c>
    </row>
    <row r="2522" spans="1:30" s="20" customFormat="1" ht="36" customHeight="1" x14ac:dyDescent="0.25">
      <c r="A2522" s="2">
        <f t="shared" si="1419"/>
        <v>2439</v>
      </c>
      <c r="B2522" s="6">
        <f>A2522</f>
        <v>2439</v>
      </c>
      <c r="C2522" s="19" t="s">
        <v>988</v>
      </c>
      <c r="D2522" s="4">
        <f t="shared" ref="D2522:D2585" si="1421">E2522+M2522+O2522+Q2522+S2522+T2522+U2522+V2522+W2522+X2522+Z2522+AA2522+AB2522+AC2522+AD2522</f>
        <v>17459080.359999999</v>
      </c>
      <c r="E2522" s="1">
        <f>SUM(F2522:K2522)</f>
        <v>13282980.359999999</v>
      </c>
      <c r="F2522" s="1">
        <f>804*3960.34</f>
        <v>3184113.3600000003</v>
      </c>
      <c r="G2522" s="1">
        <f>1693*3960.34</f>
        <v>6704855.6200000001</v>
      </c>
      <c r="H2522" s="1">
        <f>390*3960.34</f>
        <v>1544532.6</v>
      </c>
      <c r="I2522" s="1">
        <v>0</v>
      </c>
      <c r="J2522" s="1">
        <f>467*3960.34</f>
        <v>1849478.78</v>
      </c>
      <c r="K2522" s="1">
        <v>0</v>
      </c>
      <c r="L2522" s="2">
        <v>0</v>
      </c>
      <c r="M2522" s="1">
        <v>0</v>
      </c>
      <c r="N2522" s="1">
        <v>0</v>
      </c>
      <c r="O2522" s="1">
        <v>0</v>
      </c>
      <c r="P2522" s="1">
        <v>0</v>
      </c>
      <c r="Q2522" s="1">
        <f>P2522*1400</f>
        <v>0</v>
      </c>
      <c r="R2522" s="1">
        <v>1100</v>
      </c>
      <c r="S2522" s="1">
        <f>R2522*3751</f>
        <v>4126100</v>
      </c>
      <c r="T2522" s="1">
        <v>0</v>
      </c>
      <c r="U2522" s="1">
        <v>50000</v>
      </c>
      <c r="V2522" s="1">
        <v>0</v>
      </c>
      <c r="W2522" s="1">
        <v>0</v>
      </c>
      <c r="X2522" s="1">
        <v>0</v>
      </c>
      <c r="Y2522" s="1">
        <v>0</v>
      </c>
      <c r="Z2522" s="1">
        <v>0</v>
      </c>
      <c r="AA2522" s="1">
        <v>0</v>
      </c>
      <c r="AB2522" s="1">
        <v>0</v>
      </c>
      <c r="AC2522" s="1">
        <v>0</v>
      </c>
      <c r="AD2522" s="1">
        <v>0</v>
      </c>
    </row>
    <row r="2523" spans="1:30" s="20" customFormat="1" ht="36" customHeight="1" x14ac:dyDescent="0.25">
      <c r="A2523" s="2">
        <f t="shared" si="1419"/>
        <v>2440</v>
      </c>
      <c r="B2523" s="3">
        <f t="shared" si="1418"/>
        <v>2440</v>
      </c>
      <c r="C2523" s="30" t="s">
        <v>2604</v>
      </c>
      <c r="D2523" s="4">
        <f t="shared" si="1421"/>
        <v>28831773.75</v>
      </c>
      <c r="E2523" s="1">
        <f t="shared" si="1405"/>
        <v>17090195.75</v>
      </c>
      <c r="F2523" s="1">
        <f>804*4354.19</f>
        <v>3500768.76</v>
      </c>
      <c r="G2523" s="1">
        <f>1693*4354.19</f>
        <v>7371643.669999999</v>
      </c>
      <c r="H2523" s="1">
        <f>390*4354.19</f>
        <v>1698134.0999999999</v>
      </c>
      <c r="I2523" s="1">
        <f>571*4354.19</f>
        <v>2486242.4899999998</v>
      </c>
      <c r="J2523" s="1">
        <f>467*4354.19</f>
        <v>2033406.7299999997</v>
      </c>
      <c r="K2523" s="1">
        <v>0</v>
      </c>
      <c r="L2523" s="2">
        <v>0</v>
      </c>
      <c r="M2523" s="1">
        <v>0</v>
      </c>
      <c r="N2523" s="1">
        <v>871</v>
      </c>
      <c r="O2523" s="1">
        <f>N2523*4968</f>
        <v>4327128</v>
      </c>
      <c r="P2523" s="1">
        <v>0</v>
      </c>
      <c r="Q2523" s="1">
        <f t="shared" si="1412"/>
        <v>0</v>
      </c>
      <c r="R2523" s="1">
        <v>1950</v>
      </c>
      <c r="S2523" s="1">
        <f t="shared" si="1411"/>
        <v>7314450</v>
      </c>
      <c r="T2523" s="1">
        <v>0</v>
      </c>
      <c r="U2523" s="1">
        <v>50000</v>
      </c>
      <c r="V2523" s="1">
        <v>0</v>
      </c>
      <c r="W2523" s="1">
        <v>50000</v>
      </c>
      <c r="X2523" s="1">
        <v>0</v>
      </c>
      <c r="Y2523" s="1">
        <v>0</v>
      </c>
      <c r="Z2523" s="1">
        <v>0</v>
      </c>
      <c r="AA2523" s="1">
        <v>0</v>
      </c>
      <c r="AB2523" s="1">
        <v>0</v>
      </c>
      <c r="AC2523" s="1">
        <v>0</v>
      </c>
      <c r="AD2523" s="1">
        <v>0</v>
      </c>
    </row>
    <row r="2524" spans="1:30" s="20" customFormat="1" ht="36" customHeight="1" x14ac:dyDescent="0.25">
      <c r="A2524" s="2">
        <f t="shared" si="1419"/>
        <v>2441</v>
      </c>
      <c r="B2524" s="3">
        <f t="shared" si="1418"/>
        <v>2441</v>
      </c>
      <c r="C2524" s="30" t="s">
        <v>2605</v>
      </c>
      <c r="D2524" s="4">
        <f t="shared" si="1421"/>
        <v>26590955.75</v>
      </c>
      <c r="E2524" s="1">
        <f t="shared" si="1405"/>
        <v>16538497.75</v>
      </c>
      <c r="F2524" s="1">
        <f>804*4213.63</f>
        <v>3387758.52</v>
      </c>
      <c r="G2524" s="1">
        <f>1693*4213.63</f>
        <v>7133675.5899999999</v>
      </c>
      <c r="H2524" s="1">
        <f>390*4213.63</f>
        <v>1643315.7</v>
      </c>
      <c r="I2524" s="1">
        <f>571*4213.63</f>
        <v>2405982.73</v>
      </c>
      <c r="J2524" s="1">
        <f>467*4213.63</f>
        <v>1967765.21</v>
      </c>
      <c r="K2524" s="1">
        <v>0</v>
      </c>
      <c r="L2524" s="2">
        <v>0</v>
      </c>
      <c r="M2524" s="1">
        <v>0</v>
      </c>
      <c r="N2524" s="1">
        <v>531</v>
      </c>
      <c r="O2524" s="1">
        <f>N2524*4968</f>
        <v>2638008</v>
      </c>
      <c r="P2524" s="1">
        <v>0</v>
      </c>
      <c r="Q2524" s="1">
        <f t="shared" si="1412"/>
        <v>0</v>
      </c>
      <c r="R2524" s="1">
        <v>1950</v>
      </c>
      <c r="S2524" s="1">
        <f t="shared" si="1411"/>
        <v>7314450</v>
      </c>
      <c r="T2524" s="1">
        <v>0</v>
      </c>
      <c r="U2524" s="1">
        <v>50000</v>
      </c>
      <c r="V2524" s="1">
        <v>0</v>
      </c>
      <c r="W2524" s="1">
        <v>50000</v>
      </c>
      <c r="X2524" s="1">
        <v>0</v>
      </c>
      <c r="Y2524" s="1">
        <v>0</v>
      </c>
      <c r="Z2524" s="1">
        <v>0</v>
      </c>
      <c r="AA2524" s="1">
        <v>0</v>
      </c>
      <c r="AB2524" s="1">
        <v>0</v>
      </c>
      <c r="AC2524" s="1">
        <v>0</v>
      </c>
      <c r="AD2524" s="1">
        <v>0</v>
      </c>
    </row>
    <row r="2525" spans="1:30" s="20" customFormat="1" ht="36" customHeight="1" x14ac:dyDescent="0.25">
      <c r="A2525" s="2">
        <f t="shared" si="1419"/>
        <v>2442</v>
      </c>
      <c r="B2525" s="3">
        <f t="shared" si="1418"/>
        <v>2442</v>
      </c>
      <c r="C2525" s="19" t="s">
        <v>2606</v>
      </c>
      <c r="D2525" s="4">
        <f t="shared" si="1421"/>
        <v>24105707.25</v>
      </c>
      <c r="E2525" s="1">
        <f t="shared" si="1405"/>
        <v>12061407.25</v>
      </c>
      <c r="F2525" s="1">
        <f>804*3072.97</f>
        <v>2470667.88</v>
      </c>
      <c r="G2525" s="1">
        <f>1693*3072.97</f>
        <v>5202538.21</v>
      </c>
      <c r="H2525" s="1">
        <f>390*3072.97</f>
        <v>1198458.2999999998</v>
      </c>
      <c r="I2525" s="1">
        <f>571*3072.97</f>
        <v>1754665.8699999999</v>
      </c>
      <c r="J2525" s="1">
        <f>467*3072.97</f>
        <v>1435076.99</v>
      </c>
      <c r="K2525" s="1">
        <v>0</v>
      </c>
      <c r="L2525" s="2">
        <v>0</v>
      </c>
      <c r="M2525" s="1">
        <v>0</v>
      </c>
      <c r="N2525" s="1">
        <v>791</v>
      </c>
      <c r="O2525" s="1">
        <f>N2525*7750</f>
        <v>6130250</v>
      </c>
      <c r="P2525" s="1">
        <v>0</v>
      </c>
      <c r="Q2525" s="1">
        <f t="shared" si="1412"/>
        <v>0</v>
      </c>
      <c r="R2525" s="1">
        <v>1550</v>
      </c>
      <c r="S2525" s="1">
        <f t="shared" si="1411"/>
        <v>5814050</v>
      </c>
      <c r="T2525" s="1">
        <v>0</v>
      </c>
      <c r="U2525" s="1">
        <v>50000</v>
      </c>
      <c r="V2525" s="1">
        <v>0</v>
      </c>
      <c r="W2525" s="1">
        <v>50000</v>
      </c>
      <c r="X2525" s="1">
        <v>0</v>
      </c>
      <c r="Y2525" s="1">
        <v>0</v>
      </c>
      <c r="Z2525" s="1">
        <v>0</v>
      </c>
      <c r="AA2525" s="1">
        <v>0</v>
      </c>
      <c r="AB2525" s="1">
        <v>0</v>
      </c>
      <c r="AC2525" s="1">
        <v>0</v>
      </c>
      <c r="AD2525" s="1">
        <v>0</v>
      </c>
    </row>
    <row r="2526" spans="1:30" s="20" customFormat="1" ht="36" customHeight="1" x14ac:dyDescent="0.25">
      <c r="A2526" s="2">
        <f t="shared" si="1419"/>
        <v>2443</v>
      </c>
      <c r="B2526" s="3">
        <f t="shared" si="1418"/>
        <v>2443</v>
      </c>
      <c r="C2526" s="19" t="s">
        <v>1479</v>
      </c>
      <c r="D2526" s="4">
        <f t="shared" si="1421"/>
        <v>41982416</v>
      </c>
      <c r="E2526" s="1">
        <f t="shared" si="1405"/>
        <v>24834259.999999996</v>
      </c>
      <c r="F2526" s="1">
        <f>804*6327.2</f>
        <v>5087068.8</v>
      </c>
      <c r="G2526" s="1">
        <f>1693*6327.2</f>
        <v>10711949.6</v>
      </c>
      <c r="H2526" s="1">
        <f>390*6327.2</f>
        <v>2467608</v>
      </c>
      <c r="I2526" s="1">
        <f>571*6327.2</f>
        <v>3612831.1999999997</v>
      </c>
      <c r="J2526" s="1">
        <f>467*6327.2</f>
        <v>2954802.4</v>
      </c>
      <c r="K2526" s="1">
        <v>0</v>
      </c>
      <c r="L2526" s="2">
        <v>0</v>
      </c>
      <c r="M2526" s="1">
        <v>0</v>
      </c>
      <c r="N2526" s="1">
        <v>1242</v>
      </c>
      <c r="O2526" s="1">
        <f>N2526*4968</f>
        <v>6170256</v>
      </c>
      <c r="P2526" s="1">
        <v>0</v>
      </c>
      <c r="Q2526" s="1">
        <f t="shared" si="1412"/>
        <v>0</v>
      </c>
      <c r="R2526" s="1">
        <v>2900</v>
      </c>
      <c r="S2526" s="1">
        <f t="shared" si="1411"/>
        <v>10877900</v>
      </c>
      <c r="T2526" s="1">
        <v>0</v>
      </c>
      <c r="U2526" s="1">
        <v>50000</v>
      </c>
      <c r="V2526" s="1">
        <v>0</v>
      </c>
      <c r="W2526" s="1">
        <v>50000</v>
      </c>
      <c r="X2526" s="1">
        <v>0</v>
      </c>
      <c r="Y2526" s="1">
        <v>0</v>
      </c>
      <c r="Z2526" s="1">
        <v>0</v>
      </c>
      <c r="AA2526" s="1">
        <v>0</v>
      </c>
      <c r="AB2526" s="1">
        <v>0</v>
      </c>
      <c r="AC2526" s="1">
        <v>0</v>
      </c>
      <c r="AD2526" s="1">
        <v>0</v>
      </c>
    </row>
    <row r="2527" spans="1:30" s="20" customFormat="1" ht="36" customHeight="1" x14ac:dyDescent="0.25">
      <c r="A2527" s="2">
        <f t="shared" si="1419"/>
        <v>2444</v>
      </c>
      <c r="B2527" s="3">
        <f t="shared" si="1418"/>
        <v>2444</v>
      </c>
      <c r="C2527" s="19" t="s">
        <v>1480</v>
      </c>
      <c r="D2527" s="4">
        <f t="shared" si="1421"/>
        <v>56727068</v>
      </c>
      <c r="E2527" s="1">
        <f t="shared" si="1405"/>
        <v>32833410</v>
      </c>
      <c r="F2527" s="1">
        <f>804*8365.2</f>
        <v>6725620.8000000007</v>
      </c>
      <c r="G2527" s="1">
        <f>1693*8365.2</f>
        <v>14162283.600000001</v>
      </c>
      <c r="H2527" s="1">
        <f>390*8365.2</f>
        <v>3262428.0000000005</v>
      </c>
      <c r="I2527" s="1">
        <f>571*8365.2</f>
        <v>4776529.2</v>
      </c>
      <c r="J2527" s="1">
        <f>467*8365.2</f>
        <v>3906548.4000000004</v>
      </c>
      <c r="K2527" s="1">
        <v>0</v>
      </c>
      <c r="L2527" s="2">
        <v>0</v>
      </c>
      <c r="M2527" s="1">
        <v>0</v>
      </c>
      <c r="N2527" s="1">
        <v>1656</v>
      </c>
      <c r="O2527" s="1">
        <f>N2527*4968</f>
        <v>8227008</v>
      </c>
      <c r="P2527" s="1">
        <v>0</v>
      </c>
      <c r="Q2527" s="1">
        <f t="shared" si="1412"/>
        <v>0</v>
      </c>
      <c r="R2527" s="1">
        <v>4150</v>
      </c>
      <c r="S2527" s="1">
        <f t="shared" si="1411"/>
        <v>15566650</v>
      </c>
      <c r="T2527" s="1">
        <v>0</v>
      </c>
      <c r="U2527" s="1">
        <v>50000</v>
      </c>
      <c r="V2527" s="1">
        <v>0</v>
      </c>
      <c r="W2527" s="1">
        <v>50000</v>
      </c>
      <c r="X2527" s="1">
        <v>0</v>
      </c>
      <c r="Y2527" s="1">
        <v>0</v>
      </c>
      <c r="Z2527" s="1">
        <v>0</v>
      </c>
      <c r="AA2527" s="1">
        <v>0</v>
      </c>
      <c r="AB2527" s="1">
        <v>0</v>
      </c>
      <c r="AC2527" s="1">
        <v>0</v>
      </c>
      <c r="AD2527" s="1">
        <v>0</v>
      </c>
    </row>
    <row r="2528" spans="1:30" s="20" customFormat="1" ht="36" customHeight="1" x14ac:dyDescent="0.25">
      <c r="A2528" s="2">
        <f t="shared" si="1419"/>
        <v>2445</v>
      </c>
      <c r="B2528" s="3">
        <f t="shared" si="1418"/>
        <v>2445</v>
      </c>
      <c r="C2528" s="19" t="s">
        <v>1481</v>
      </c>
      <c r="D2528" s="4">
        <f t="shared" si="1421"/>
        <v>57271369</v>
      </c>
      <c r="E2528" s="1">
        <f t="shared" si="1405"/>
        <v>33069694.999999996</v>
      </c>
      <c r="F2528" s="1">
        <f>804*8425.4</f>
        <v>6774021.5999999996</v>
      </c>
      <c r="G2528" s="1">
        <f>1693*8425.4</f>
        <v>14264202.199999999</v>
      </c>
      <c r="H2528" s="1">
        <f>390*8425.4</f>
        <v>3285906</v>
      </c>
      <c r="I2528" s="1">
        <f>571*8425.4</f>
        <v>4810903.3999999994</v>
      </c>
      <c r="J2528" s="1">
        <f>467*8425.4</f>
        <v>3934661.8</v>
      </c>
      <c r="K2528" s="1">
        <v>0</v>
      </c>
      <c r="L2528" s="2">
        <v>0</v>
      </c>
      <c r="M2528" s="1">
        <v>0</v>
      </c>
      <c r="N2528" s="1">
        <v>1718</v>
      </c>
      <c r="O2528" s="1">
        <f>N2528*4968</f>
        <v>8535024</v>
      </c>
      <c r="P2528" s="1">
        <v>0</v>
      </c>
      <c r="Q2528" s="1">
        <f t="shared" si="1412"/>
        <v>0</v>
      </c>
      <c r="R2528" s="1">
        <v>4150</v>
      </c>
      <c r="S2528" s="1">
        <f t="shared" si="1411"/>
        <v>15566650</v>
      </c>
      <c r="T2528" s="1">
        <v>0</v>
      </c>
      <c r="U2528" s="1">
        <v>50000</v>
      </c>
      <c r="V2528" s="1">
        <v>0</v>
      </c>
      <c r="W2528" s="1">
        <v>50000</v>
      </c>
      <c r="X2528" s="1">
        <v>0</v>
      </c>
      <c r="Y2528" s="1">
        <v>0</v>
      </c>
      <c r="Z2528" s="1">
        <v>0</v>
      </c>
      <c r="AA2528" s="1">
        <v>0</v>
      </c>
      <c r="AB2528" s="1">
        <v>0</v>
      </c>
      <c r="AC2528" s="1">
        <v>0</v>
      </c>
      <c r="AD2528" s="1">
        <v>0</v>
      </c>
    </row>
    <row r="2529" spans="1:30" s="20" customFormat="1" ht="36" customHeight="1" x14ac:dyDescent="0.25">
      <c r="A2529" s="2">
        <f t="shared" si="1419"/>
        <v>2446</v>
      </c>
      <c r="B2529" s="3">
        <f t="shared" si="1418"/>
        <v>2446</v>
      </c>
      <c r="C2529" s="19" t="s">
        <v>1482</v>
      </c>
      <c r="D2529" s="4">
        <f t="shared" si="1421"/>
        <v>31028039.5</v>
      </c>
      <c r="E2529" s="1">
        <f t="shared" si="1405"/>
        <v>18296387.5</v>
      </c>
      <c r="F2529" s="1">
        <f>804*4661.5</f>
        <v>3747846</v>
      </c>
      <c r="G2529" s="1">
        <f>1693*4661.5</f>
        <v>7891919.5</v>
      </c>
      <c r="H2529" s="1">
        <f>390*4661.5</f>
        <v>1817985</v>
      </c>
      <c r="I2529" s="1">
        <f>571*4661.5</f>
        <v>2661716.5</v>
      </c>
      <c r="J2529" s="1">
        <f>467*4661.5</f>
        <v>2176920.5</v>
      </c>
      <c r="K2529" s="1">
        <v>0</v>
      </c>
      <c r="L2529" s="2">
        <v>0</v>
      </c>
      <c r="M2529" s="1">
        <v>0</v>
      </c>
      <c r="N2529" s="1">
        <v>1100</v>
      </c>
      <c r="O2529" s="1">
        <f>N2529*4968</f>
        <v>5464800</v>
      </c>
      <c r="P2529" s="1">
        <v>50</v>
      </c>
      <c r="Q2529" s="1">
        <f t="shared" si="1414"/>
        <v>70000</v>
      </c>
      <c r="R2529" s="1">
        <v>1852</v>
      </c>
      <c r="S2529" s="1">
        <f t="shared" si="1415"/>
        <v>6946852</v>
      </c>
      <c r="T2529" s="1">
        <v>150000</v>
      </c>
      <c r="U2529" s="1">
        <v>50000</v>
      </c>
      <c r="V2529" s="1">
        <v>0</v>
      </c>
      <c r="W2529" s="1">
        <v>50000</v>
      </c>
      <c r="X2529" s="1">
        <v>0</v>
      </c>
      <c r="Y2529" s="1">
        <v>0</v>
      </c>
      <c r="Z2529" s="1">
        <v>0</v>
      </c>
      <c r="AA2529" s="1">
        <v>0</v>
      </c>
      <c r="AB2529" s="1">
        <v>0</v>
      </c>
      <c r="AC2529" s="1">
        <v>0</v>
      </c>
      <c r="AD2529" s="1">
        <v>0</v>
      </c>
    </row>
    <row r="2530" spans="1:30" s="20" customFormat="1" ht="36" customHeight="1" x14ac:dyDescent="0.25">
      <c r="A2530" s="2">
        <f t="shared" si="1419"/>
        <v>2447</v>
      </c>
      <c r="B2530" s="6">
        <f>A2530</f>
        <v>2447</v>
      </c>
      <c r="C2530" s="19" t="s">
        <v>990</v>
      </c>
      <c r="D2530" s="4">
        <f t="shared" si="1421"/>
        <v>19762484</v>
      </c>
      <c r="E2530" s="1">
        <f>SUM(F2530:K2530)</f>
        <v>11018260</v>
      </c>
      <c r="F2530" s="1">
        <f>804*2807.2</f>
        <v>2256988.7999999998</v>
      </c>
      <c r="G2530" s="1">
        <f>1693*2807.2</f>
        <v>4752589.5999999996</v>
      </c>
      <c r="H2530" s="1">
        <f>390*2807.2</f>
        <v>1094808</v>
      </c>
      <c r="I2530" s="1">
        <f>571*2807.2</f>
        <v>1602911.2</v>
      </c>
      <c r="J2530" s="1">
        <f>467*2807.2</f>
        <v>1310962.3999999999</v>
      </c>
      <c r="K2530" s="1">
        <v>0</v>
      </c>
      <c r="L2530" s="2">
        <v>0</v>
      </c>
      <c r="M2530" s="1">
        <v>0</v>
      </c>
      <c r="N2530" s="1">
        <v>693</v>
      </c>
      <c r="O2530" s="1">
        <f>N2530*4968</f>
        <v>3442824</v>
      </c>
      <c r="P2530" s="1">
        <v>0</v>
      </c>
      <c r="Q2530" s="1">
        <f>P2530*1400</f>
        <v>0</v>
      </c>
      <c r="R2530" s="1">
        <v>1400</v>
      </c>
      <c r="S2530" s="1">
        <f>R2530*3751</f>
        <v>5251400</v>
      </c>
      <c r="T2530" s="1">
        <v>0</v>
      </c>
      <c r="U2530" s="1">
        <v>50000</v>
      </c>
      <c r="V2530" s="1">
        <v>0</v>
      </c>
      <c r="W2530" s="1">
        <v>0</v>
      </c>
      <c r="X2530" s="1">
        <v>0</v>
      </c>
      <c r="Y2530" s="1">
        <v>0</v>
      </c>
      <c r="Z2530" s="1">
        <v>0</v>
      </c>
      <c r="AA2530" s="1">
        <v>0</v>
      </c>
      <c r="AB2530" s="1">
        <v>0</v>
      </c>
      <c r="AC2530" s="1">
        <v>0</v>
      </c>
      <c r="AD2530" s="1">
        <v>0</v>
      </c>
    </row>
    <row r="2531" spans="1:30" s="20" customFormat="1" ht="36" customHeight="1" x14ac:dyDescent="0.25">
      <c r="A2531" s="2">
        <f t="shared" si="1419"/>
        <v>2448</v>
      </c>
      <c r="B2531" s="6">
        <f>A2531</f>
        <v>2448</v>
      </c>
      <c r="C2531" s="19" t="s">
        <v>2607</v>
      </c>
      <c r="D2531" s="4">
        <f t="shared" si="1421"/>
        <v>7200000</v>
      </c>
      <c r="E2531" s="1">
        <f>SUM(F2531:K2531)</f>
        <v>0</v>
      </c>
      <c r="F2531" s="1">
        <v>0</v>
      </c>
      <c r="G2531" s="1">
        <v>0</v>
      </c>
      <c r="H2531" s="1">
        <v>0</v>
      </c>
      <c r="I2531" s="1">
        <v>0</v>
      </c>
      <c r="J2531" s="1">
        <v>0</v>
      </c>
      <c r="K2531" s="1">
        <v>0</v>
      </c>
      <c r="L2531" s="2">
        <v>2</v>
      </c>
      <c r="M2531" s="1">
        <f t="shared" ref="M2531" si="1422">L2531*3500000</f>
        <v>7000000</v>
      </c>
      <c r="N2531" s="1">
        <v>0</v>
      </c>
      <c r="O2531" s="1">
        <v>0</v>
      </c>
      <c r="P2531" s="1">
        <v>0</v>
      </c>
      <c r="Q2531" s="1">
        <f>P2531*1400</f>
        <v>0</v>
      </c>
      <c r="R2531" s="1">
        <v>0</v>
      </c>
      <c r="S2531" s="1">
        <f>R2531*3751</f>
        <v>0</v>
      </c>
      <c r="T2531" s="1">
        <v>0</v>
      </c>
      <c r="U2531" s="1">
        <v>200000</v>
      </c>
      <c r="V2531" s="1">
        <v>0</v>
      </c>
      <c r="W2531" s="1">
        <v>0</v>
      </c>
      <c r="X2531" s="1">
        <v>0</v>
      </c>
      <c r="Y2531" s="1">
        <v>0</v>
      </c>
      <c r="Z2531" s="1">
        <v>0</v>
      </c>
      <c r="AA2531" s="1">
        <v>0</v>
      </c>
      <c r="AB2531" s="1">
        <v>0</v>
      </c>
      <c r="AC2531" s="1">
        <v>0</v>
      </c>
      <c r="AD2531" s="1">
        <v>0</v>
      </c>
    </row>
    <row r="2532" spans="1:30" s="20" customFormat="1" ht="36" customHeight="1" x14ac:dyDescent="0.25">
      <c r="A2532" s="2">
        <f t="shared" si="1419"/>
        <v>2449</v>
      </c>
      <c r="B2532" s="6">
        <f>A2532</f>
        <v>2449</v>
      </c>
      <c r="C2532" s="19" t="s">
        <v>2160</v>
      </c>
      <c r="D2532" s="4">
        <f t="shared" si="1421"/>
        <v>7205671</v>
      </c>
      <c r="E2532" s="1">
        <f>SUM(F2532:K2532)</f>
        <v>0</v>
      </c>
      <c r="F2532" s="1">
        <v>0</v>
      </c>
      <c r="G2532" s="1">
        <v>0</v>
      </c>
      <c r="H2532" s="1">
        <v>0</v>
      </c>
      <c r="I2532" s="1">
        <v>0</v>
      </c>
      <c r="J2532" s="1">
        <v>0</v>
      </c>
      <c r="K2532" s="1">
        <v>0</v>
      </c>
      <c r="L2532" s="2">
        <v>0</v>
      </c>
      <c r="M2532" s="1">
        <v>0</v>
      </c>
      <c r="N2532" s="1">
        <v>0</v>
      </c>
      <c r="O2532" s="1">
        <v>0</v>
      </c>
      <c r="P2532" s="1">
        <v>0</v>
      </c>
      <c r="Q2532" s="1">
        <f>P2532*1400</f>
        <v>0</v>
      </c>
      <c r="R2532" s="1">
        <v>1921</v>
      </c>
      <c r="S2532" s="1">
        <f>R2532*3751</f>
        <v>7205671</v>
      </c>
      <c r="T2532" s="1">
        <v>0</v>
      </c>
      <c r="U2532" s="1">
        <v>0</v>
      </c>
      <c r="V2532" s="1">
        <v>0</v>
      </c>
      <c r="W2532" s="1">
        <v>0</v>
      </c>
      <c r="X2532" s="1">
        <v>0</v>
      </c>
      <c r="Y2532" s="1">
        <v>0</v>
      </c>
      <c r="Z2532" s="1">
        <v>0</v>
      </c>
      <c r="AA2532" s="1">
        <v>0</v>
      </c>
      <c r="AB2532" s="1">
        <v>0</v>
      </c>
      <c r="AC2532" s="1">
        <v>0</v>
      </c>
      <c r="AD2532" s="1">
        <v>0</v>
      </c>
    </row>
    <row r="2533" spans="1:30" s="20" customFormat="1" ht="36" customHeight="1" x14ac:dyDescent="0.25">
      <c r="A2533" s="2">
        <f t="shared" si="1419"/>
        <v>2450</v>
      </c>
      <c r="B2533" s="6">
        <f>A2533</f>
        <v>2450</v>
      </c>
      <c r="C2533" s="19" t="s">
        <v>2161</v>
      </c>
      <c r="D2533" s="4">
        <f t="shared" si="1421"/>
        <v>7175663</v>
      </c>
      <c r="E2533" s="1">
        <f>SUM(F2533:K2533)</f>
        <v>0</v>
      </c>
      <c r="F2533" s="1">
        <v>0</v>
      </c>
      <c r="G2533" s="1">
        <v>0</v>
      </c>
      <c r="H2533" s="1">
        <v>0</v>
      </c>
      <c r="I2533" s="1">
        <v>0</v>
      </c>
      <c r="J2533" s="1">
        <v>0</v>
      </c>
      <c r="K2533" s="1">
        <v>0</v>
      </c>
      <c r="L2533" s="2">
        <v>0</v>
      </c>
      <c r="M2533" s="1">
        <v>0</v>
      </c>
      <c r="N2533" s="1">
        <v>0</v>
      </c>
      <c r="O2533" s="1">
        <v>0</v>
      </c>
      <c r="P2533" s="1">
        <v>0</v>
      </c>
      <c r="Q2533" s="1">
        <f>P2533*1400</f>
        <v>0</v>
      </c>
      <c r="R2533" s="1">
        <v>1913</v>
      </c>
      <c r="S2533" s="1">
        <f>R2533*3751</f>
        <v>7175663</v>
      </c>
      <c r="T2533" s="1">
        <v>0</v>
      </c>
      <c r="U2533" s="1">
        <v>0</v>
      </c>
      <c r="V2533" s="1">
        <v>0</v>
      </c>
      <c r="W2533" s="1">
        <v>0</v>
      </c>
      <c r="X2533" s="1">
        <v>0</v>
      </c>
      <c r="Y2533" s="1">
        <v>0</v>
      </c>
      <c r="Z2533" s="1">
        <v>0</v>
      </c>
      <c r="AA2533" s="1">
        <v>0</v>
      </c>
      <c r="AB2533" s="1">
        <v>0</v>
      </c>
      <c r="AC2533" s="1">
        <v>0</v>
      </c>
      <c r="AD2533" s="1">
        <v>0</v>
      </c>
    </row>
    <row r="2534" spans="1:30" s="20" customFormat="1" ht="36" customHeight="1" x14ac:dyDescent="0.25">
      <c r="A2534" s="2">
        <f t="shared" si="1419"/>
        <v>2451</v>
      </c>
      <c r="B2534" s="3">
        <f t="shared" si="1418"/>
        <v>2451</v>
      </c>
      <c r="C2534" s="19" t="s">
        <v>1483</v>
      </c>
      <c r="D2534" s="4">
        <f t="shared" si="1421"/>
        <v>9741117.25</v>
      </c>
      <c r="E2534" s="1">
        <f t="shared" si="1405"/>
        <v>5161885.2500000009</v>
      </c>
      <c r="F2534" s="1">
        <f>804*1315.13</f>
        <v>1057364.52</v>
      </c>
      <c r="G2534" s="1">
        <f>1693*1315.13</f>
        <v>2226515.0900000003</v>
      </c>
      <c r="H2534" s="1">
        <f>390*1315.13</f>
        <v>512900.70000000007</v>
      </c>
      <c r="I2534" s="1">
        <f>571*1315.13</f>
        <v>750939.2300000001</v>
      </c>
      <c r="J2534" s="1">
        <f>467*1315.13</f>
        <v>614165.71000000008</v>
      </c>
      <c r="K2534" s="1">
        <v>0</v>
      </c>
      <c r="L2534" s="2">
        <v>0</v>
      </c>
      <c r="M2534" s="1">
        <v>0</v>
      </c>
      <c r="N2534" s="1">
        <v>509</v>
      </c>
      <c r="O2534" s="1">
        <f>N2534*4968</f>
        <v>2528712</v>
      </c>
      <c r="P2534" s="1">
        <v>0</v>
      </c>
      <c r="Q2534" s="1">
        <f t="shared" si="1414"/>
        <v>0</v>
      </c>
      <c r="R2534" s="1">
        <v>520</v>
      </c>
      <c r="S2534" s="1">
        <f t="shared" si="1415"/>
        <v>1950520</v>
      </c>
      <c r="T2534" s="1">
        <v>0</v>
      </c>
      <c r="U2534" s="1">
        <v>50000</v>
      </c>
      <c r="V2534" s="1">
        <v>0</v>
      </c>
      <c r="W2534" s="1">
        <v>50000</v>
      </c>
      <c r="X2534" s="1">
        <v>0</v>
      </c>
      <c r="Y2534" s="1">
        <v>0</v>
      </c>
      <c r="Z2534" s="1">
        <v>0</v>
      </c>
      <c r="AA2534" s="1">
        <v>0</v>
      </c>
      <c r="AB2534" s="1">
        <v>0</v>
      </c>
      <c r="AC2534" s="1">
        <v>0</v>
      </c>
      <c r="AD2534" s="1">
        <v>0</v>
      </c>
    </row>
    <row r="2535" spans="1:30" s="20" customFormat="1" ht="36" customHeight="1" x14ac:dyDescent="0.25">
      <c r="A2535" s="2">
        <f t="shared" si="1419"/>
        <v>2452</v>
      </c>
      <c r="B2535" s="3">
        <f t="shared" si="1418"/>
        <v>2452</v>
      </c>
      <c r="C2535" s="19" t="s">
        <v>1484</v>
      </c>
      <c r="D2535" s="4">
        <f t="shared" si="1421"/>
        <v>6511282.5</v>
      </c>
      <c r="E2535" s="1">
        <f t="shared" si="1405"/>
        <v>4460762.5</v>
      </c>
      <c r="F2535" s="1">
        <f>804*1136.5</f>
        <v>913746</v>
      </c>
      <c r="G2535" s="1">
        <f>1693*1136.5</f>
        <v>1924094.5</v>
      </c>
      <c r="H2535" s="1">
        <f>390*1136.5</f>
        <v>443235</v>
      </c>
      <c r="I2535" s="1">
        <f>571*1136.5</f>
        <v>648941.5</v>
      </c>
      <c r="J2535" s="1">
        <f>467*1136.5</f>
        <v>530745.5</v>
      </c>
      <c r="K2535" s="1">
        <v>0</v>
      </c>
      <c r="L2535" s="2">
        <v>0</v>
      </c>
      <c r="M2535" s="1">
        <v>0</v>
      </c>
      <c r="N2535" s="1">
        <v>0</v>
      </c>
      <c r="O2535" s="1">
        <v>0</v>
      </c>
      <c r="P2535" s="1">
        <v>0</v>
      </c>
      <c r="Q2535" s="1">
        <f t="shared" si="1414"/>
        <v>0</v>
      </c>
      <c r="R2535" s="1">
        <v>520</v>
      </c>
      <c r="S2535" s="1">
        <f t="shared" si="1415"/>
        <v>1950520</v>
      </c>
      <c r="T2535" s="1">
        <v>0</v>
      </c>
      <c r="U2535" s="1">
        <v>50000</v>
      </c>
      <c r="V2535" s="1">
        <v>0</v>
      </c>
      <c r="W2535" s="1">
        <v>50000</v>
      </c>
      <c r="X2535" s="1">
        <v>0</v>
      </c>
      <c r="Y2535" s="1">
        <v>0</v>
      </c>
      <c r="Z2535" s="1">
        <v>0</v>
      </c>
      <c r="AA2535" s="1">
        <v>0</v>
      </c>
      <c r="AB2535" s="1">
        <v>0</v>
      </c>
      <c r="AC2535" s="1">
        <v>0</v>
      </c>
      <c r="AD2535" s="1">
        <v>0</v>
      </c>
    </row>
    <row r="2536" spans="1:30" s="20" customFormat="1" ht="36" customHeight="1" x14ac:dyDescent="0.25">
      <c r="A2536" s="2">
        <f t="shared" si="1419"/>
        <v>2453</v>
      </c>
      <c r="B2536" s="3">
        <f t="shared" si="1418"/>
        <v>2453</v>
      </c>
      <c r="C2536" s="19" t="s">
        <v>2608</v>
      </c>
      <c r="D2536" s="4">
        <f t="shared" si="1421"/>
        <v>18718361</v>
      </c>
      <c r="E2536" s="1">
        <f t="shared" si="1405"/>
        <v>9780001</v>
      </c>
      <c r="F2536" s="1">
        <f>804*2491.72</f>
        <v>2003342.88</v>
      </c>
      <c r="G2536" s="1">
        <f>1693*2491.72</f>
        <v>4218481.96</v>
      </c>
      <c r="H2536" s="1">
        <f>390*2491.72</f>
        <v>971770.79999999993</v>
      </c>
      <c r="I2536" s="1">
        <f>571*2491.72</f>
        <v>1422772.1199999999</v>
      </c>
      <c r="J2536" s="1">
        <f>467*2491.72</f>
        <v>1163633.24</v>
      </c>
      <c r="K2536" s="1">
        <v>0</v>
      </c>
      <c r="L2536" s="2">
        <v>0</v>
      </c>
      <c r="M2536" s="1">
        <v>0</v>
      </c>
      <c r="N2536" s="1">
        <v>420</v>
      </c>
      <c r="O2536" s="1">
        <f>N2536*4968</f>
        <v>2086560</v>
      </c>
      <c r="P2536" s="1">
        <v>0</v>
      </c>
      <c r="Q2536" s="1">
        <f t="shared" si="1414"/>
        <v>0</v>
      </c>
      <c r="R2536" s="1">
        <v>1800</v>
      </c>
      <c r="S2536" s="1">
        <f t="shared" si="1415"/>
        <v>6751800</v>
      </c>
      <c r="T2536" s="1">
        <v>0</v>
      </c>
      <c r="U2536" s="1">
        <v>50000</v>
      </c>
      <c r="V2536" s="1">
        <v>0</v>
      </c>
      <c r="W2536" s="1">
        <v>50000</v>
      </c>
      <c r="X2536" s="1">
        <v>0</v>
      </c>
      <c r="Y2536" s="1">
        <v>0</v>
      </c>
      <c r="Z2536" s="1">
        <v>0</v>
      </c>
      <c r="AA2536" s="1">
        <v>0</v>
      </c>
      <c r="AB2536" s="1">
        <v>0</v>
      </c>
      <c r="AC2536" s="1">
        <v>0</v>
      </c>
      <c r="AD2536" s="1">
        <v>0</v>
      </c>
    </row>
    <row r="2537" spans="1:30" s="20" customFormat="1" ht="36" customHeight="1" x14ac:dyDescent="0.25">
      <c r="A2537" s="2">
        <f t="shared" si="1419"/>
        <v>2454</v>
      </c>
      <c r="B2537" s="3">
        <f t="shared" si="1418"/>
        <v>2454</v>
      </c>
      <c r="C2537" s="19" t="s">
        <v>2609</v>
      </c>
      <c r="D2537" s="4">
        <f t="shared" si="1421"/>
        <v>18374060</v>
      </c>
      <c r="E2537" s="1">
        <f t="shared" si="1405"/>
        <v>9435700</v>
      </c>
      <c r="F2537" s="1">
        <f>804*2404</f>
        <v>1932816</v>
      </c>
      <c r="G2537" s="1">
        <f>1693*2404</f>
        <v>4069972</v>
      </c>
      <c r="H2537" s="1">
        <f>390*2404</f>
        <v>937560</v>
      </c>
      <c r="I2537" s="1">
        <f>571*2404</f>
        <v>1372684</v>
      </c>
      <c r="J2537" s="1">
        <f>467*2404</f>
        <v>1122668</v>
      </c>
      <c r="K2537" s="1">
        <v>0</v>
      </c>
      <c r="L2537" s="2">
        <v>0</v>
      </c>
      <c r="M2537" s="1">
        <v>0</v>
      </c>
      <c r="N2537" s="1">
        <v>420</v>
      </c>
      <c r="O2537" s="1">
        <f>N2537*4968</f>
        <v>2086560</v>
      </c>
      <c r="P2537" s="1">
        <v>0</v>
      </c>
      <c r="Q2537" s="1">
        <f t="shared" si="1414"/>
        <v>0</v>
      </c>
      <c r="R2537" s="1">
        <v>1800</v>
      </c>
      <c r="S2537" s="1">
        <f t="shared" si="1415"/>
        <v>6751800</v>
      </c>
      <c r="T2537" s="1">
        <v>0</v>
      </c>
      <c r="U2537" s="1">
        <v>50000</v>
      </c>
      <c r="V2537" s="1">
        <v>0</v>
      </c>
      <c r="W2537" s="1">
        <v>50000</v>
      </c>
      <c r="X2537" s="1">
        <v>0</v>
      </c>
      <c r="Y2537" s="1">
        <v>0</v>
      </c>
      <c r="Z2537" s="1">
        <v>0</v>
      </c>
      <c r="AA2537" s="1">
        <v>0</v>
      </c>
      <c r="AB2537" s="1">
        <v>0</v>
      </c>
      <c r="AC2537" s="1">
        <v>0</v>
      </c>
      <c r="AD2537" s="1">
        <v>0</v>
      </c>
    </row>
    <row r="2538" spans="1:30" s="20" customFormat="1" ht="36" customHeight="1" x14ac:dyDescent="0.25">
      <c r="A2538" s="2">
        <f t="shared" si="1419"/>
        <v>2455</v>
      </c>
      <c r="B2538" s="3">
        <f t="shared" si="1418"/>
        <v>2455</v>
      </c>
      <c r="C2538" s="19" t="s">
        <v>2610</v>
      </c>
      <c r="D2538" s="4">
        <f t="shared" si="1421"/>
        <v>37563660</v>
      </c>
      <c r="E2538" s="1">
        <f t="shared" si="1405"/>
        <v>22529500</v>
      </c>
      <c r="F2538" s="1">
        <f>804*5740</f>
        <v>4614960</v>
      </c>
      <c r="G2538" s="1">
        <f>1693*5740</f>
        <v>9717820</v>
      </c>
      <c r="H2538" s="1">
        <f>390*5740</f>
        <v>2238600</v>
      </c>
      <c r="I2538" s="1">
        <f>571*5740</f>
        <v>3277540</v>
      </c>
      <c r="J2538" s="1">
        <f>467*5740</f>
        <v>2680580</v>
      </c>
      <c r="K2538" s="1">
        <v>0</v>
      </c>
      <c r="L2538" s="2">
        <v>0</v>
      </c>
      <c r="M2538" s="1">
        <v>0</v>
      </c>
      <c r="N2538" s="1">
        <v>1345</v>
      </c>
      <c r="O2538" s="1">
        <f>N2538*4968</f>
        <v>6681960</v>
      </c>
      <c r="P2538" s="1">
        <v>0</v>
      </c>
      <c r="Q2538" s="1">
        <f t="shared" si="1414"/>
        <v>0</v>
      </c>
      <c r="R2538" s="1">
        <v>2200</v>
      </c>
      <c r="S2538" s="1">
        <f t="shared" si="1415"/>
        <v>8252200</v>
      </c>
      <c r="T2538" s="1">
        <v>0</v>
      </c>
      <c r="U2538" s="1">
        <v>50000</v>
      </c>
      <c r="V2538" s="1">
        <v>0</v>
      </c>
      <c r="W2538" s="1">
        <v>50000</v>
      </c>
      <c r="X2538" s="1">
        <v>0</v>
      </c>
      <c r="Y2538" s="1">
        <v>0</v>
      </c>
      <c r="Z2538" s="1">
        <v>0</v>
      </c>
      <c r="AA2538" s="1">
        <v>0</v>
      </c>
      <c r="AB2538" s="1">
        <v>0</v>
      </c>
      <c r="AC2538" s="1">
        <v>0</v>
      </c>
      <c r="AD2538" s="1">
        <v>0</v>
      </c>
    </row>
    <row r="2539" spans="1:30" s="20" customFormat="1" ht="36" customHeight="1" x14ac:dyDescent="0.25">
      <c r="A2539" s="2">
        <f t="shared" si="1419"/>
        <v>2456</v>
      </c>
      <c r="B2539" s="2">
        <f t="shared" si="1418"/>
        <v>2456</v>
      </c>
      <c r="C2539" s="19" t="s">
        <v>2611</v>
      </c>
      <c r="D2539" s="39">
        <f t="shared" si="1421"/>
        <v>40493250</v>
      </c>
      <c r="E2539" s="1">
        <f t="shared" si="1405"/>
        <v>21556100</v>
      </c>
      <c r="F2539" s="1">
        <f>804*5492</f>
        <v>4415568</v>
      </c>
      <c r="G2539" s="1">
        <f>1693*5492</f>
        <v>9297956</v>
      </c>
      <c r="H2539" s="1">
        <f>390*5492</f>
        <v>2141880</v>
      </c>
      <c r="I2539" s="1">
        <f>571*5492</f>
        <v>3135932</v>
      </c>
      <c r="J2539" s="1">
        <f>467*5492</f>
        <v>2564764</v>
      </c>
      <c r="K2539" s="1">
        <v>0</v>
      </c>
      <c r="L2539" s="2">
        <v>0</v>
      </c>
      <c r="M2539" s="1">
        <v>0</v>
      </c>
      <c r="N2539" s="1">
        <v>1269</v>
      </c>
      <c r="O2539" s="1">
        <f>N2539*7750</f>
        <v>9834750</v>
      </c>
      <c r="P2539" s="1">
        <v>0</v>
      </c>
      <c r="Q2539" s="1">
        <f t="shared" si="1414"/>
        <v>0</v>
      </c>
      <c r="R2539" s="1">
        <v>2400</v>
      </c>
      <c r="S2539" s="1">
        <f t="shared" si="1415"/>
        <v>9002400</v>
      </c>
      <c r="T2539" s="1">
        <v>0</v>
      </c>
      <c r="U2539" s="1">
        <v>50000</v>
      </c>
      <c r="V2539" s="1">
        <v>0</v>
      </c>
      <c r="W2539" s="1">
        <v>50000</v>
      </c>
      <c r="X2539" s="1">
        <v>0</v>
      </c>
      <c r="Y2539" s="1">
        <v>0</v>
      </c>
      <c r="Z2539" s="1">
        <v>0</v>
      </c>
      <c r="AA2539" s="1">
        <v>0</v>
      </c>
      <c r="AB2539" s="1">
        <v>0</v>
      </c>
      <c r="AC2539" s="1">
        <v>0</v>
      </c>
      <c r="AD2539" s="1">
        <v>0</v>
      </c>
    </row>
    <row r="2540" spans="1:30" s="20" customFormat="1" ht="36" customHeight="1" x14ac:dyDescent="0.25">
      <c r="A2540" s="2">
        <f t="shared" si="1419"/>
        <v>2457</v>
      </c>
      <c r="B2540" s="2">
        <f t="shared" si="1418"/>
        <v>2457</v>
      </c>
      <c r="C2540" s="19" t="s">
        <v>2612</v>
      </c>
      <c r="D2540" s="39">
        <f t="shared" si="1421"/>
        <v>39801673.75</v>
      </c>
      <c r="E2540" s="1">
        <f t="shared" si="1405"/>
        <v>21306273.75</v>
      </c>
      <c r="F2540" s="1">
        <f>804*5428.35</f>
        <v>4364393.4000000004</v>
      </c>
      <c r="G2540" s="1">
        <f>1693*5428.35</f>
        <v>9190196.5500000007</v>
      </c>
      <c r="H2540" s="1">
        <f>390*5428.35</f>
        <v>2117056.5</v>
      </c>
      <c r="I2540" s="1">
        <f>571*5428.35</f>
        <v>3099587.85</v>
      </c>
      <c r="J2540" s="1">
        <f>467*5428.35</f>
        <v>2535039.4500000002</v>
      </c>
      <c r="K2540" s="1">
        <v>0</v>
      </c>
      <c r="L2540" s="2">
        <v>0</v>
      </c>
      <c r="M2540" s="1">
        <v>0</v>
      </c>
      <c r="N2540" s="1">
        <v>1212</v>
      </c>
      <c r="O2540" s="1">
        <f>N2540*7750</f>
        <v>9393000</v>
      </c>
      <c r="P2540" s="1">
        <v>0</v>
      </c>
      <c r="Q2540" s="1">
        <f t="shared" si="1414"/>
        <v>0</v>
      </c>
      <c r="R2540" s="1">
        <v>2400</v>
      </c>
      <c r="S2540" s="1">
        <f t="shared" si="1415"/>
        <v>9002400</v>
      </c>
      <c r="T2540" s="1">
        <v>0</v>
      </c>
      <c r="U2540" s="1">
        <v>50000</v>
      </c>
      <c r="V2540" s="1">
        <v>0</v>
      </c>
      <c r="W2540" s="1">
        <v>50000</v>
      </c>
      <c r="X2540" s="1">
        <v>0</v>
      </c>
      <c r="Y2540" s="1">
        <v>0</v>
      </c>
      <c r="Z2540" s="1">
        <v>0</v>
      </c>
      <c r="AA2540" s="1">
        <v>0</v>
      </c>
      <c r="AB2540" s="1">
        <v>0</v>
      </c>
      <c r="AC2540" s="1">
        <v>0</v>
      </c>
      <c r="AD2540" s="1">
        <v>0</v>
      </c>
    </row>
    <row r="2541" spans="1:30" s="20" customFormat="1" ht="36" customHeight="1" x14ac:dyDescent="0.25">
      <c r="A2541" s="2">
        <f t="shared" si="1419"/>
        <v>2458</v>
      </c>
      <c r="B2541" s="6">
        <f>A2541</f>
        <v>2458</v>
      </c>
      <c r="C2541" s="19" t="s">
        <v>1948</v>
      </c>
      <c r="D2541" s="4">
        <f t="shared" si="1421"/>
        <v>3700000</v>
      </c>
      <c r="E2541" s="1">
        <f>SUM(F2541:K2541)</f>
        <v>0</v>
      </c>
      <c r="F2541" s="1">
        <v>0</v>
      </c>
      <c r="G2541" s="1">
        <v>0</v>
      </c>
      <c r="H2541" s="1">
        <v>0</v>
      </c>
      <c r="I2541" s="1">
        <v>0</v>
      </c>
      <c r="J2541" s="1">
        <v>0</v>
      </c>
      <c r="K2541" s="1">
        <v>0</v>
      </c>
      <c r="L2541" s="2">
        <v>1</v>
      </c>
      <c r="M2541" s="1">
        <f t="shared" ref="M2541" si="1423">L2541*3500000</f>
        <v>3500000</v>
      </c>
      <c r="N2541" s="1">
        <v>0</v>
      </c>
      <c r="O2541" s="1">
        <v>0</v>
      </c>
      <c r="P2541" s="1">
        <v>0</v>
      </c>
      <c r="Q2541" s="1">
        <f>P2541*1400</f>
        <v>0</v>
      </c>
      <c r="R2541" s="1">
        <v>0</v>
      </c>
      <c r="S2541" s="1">
        <f>R2541*3751</f>
        <v>0</v>
      </c>
      <c r="T2541" s="1">
        <v>0</v>
      </c>
      <c r="U2541" s="1">
        <v>200000</v>
      </c>
      <c r="V2541" s="1">
        <v>0</v>
      </c>
      <c r="W2541" s="1">
        <v>0</v>
      </c>
      <c r="X2541" s="1">
        <v>0</v>
      </c>
      <c r="Y2541" s="1">
        <v>0</v>
      </c>
      <c r="Z2541" s="1">
        <v>0</v>
      </c>
      <c r="AA2541" s="1">
        <v>0</v>
      </c>
      <c r="AB2541" s="1">
        <v>0</v>
      </c>
      <c r="AC2541" s="1">
        <v>0</v>
      </c>
      <c r="AD2541" s="1">
        <v>0</v>
      </c>
    </row>
    <row r="2542" spans="1:30" s="20" customFormat="1" ht="36" customHeight="1" x14ac:dyDescent="0.25">
      <c r="A2542" s="2">
        <f t="shared" si="1419"/>
        <v>2459</v>
      </c>
      <c r="B2542" s="3">
        <f t="shared" si="1418"/>
        <v>2459</v>
      </c>
      <c r="C2542" s="19" t="s">
        <v>1485</v>
      </c>
      <c r="D2542" s="4">
        <f t="shared" si="1421"/>
        <v>28315991</v>
      </c>
      <c r="E2542" s="1">
        <f t="shared" si="1405"/>
        <v>16631795</v>
      </c>
      <c r="F2542" s="1">
        <f>804*4237.4</f>
        <v>3406869.5999999996</v>
      </c>
      <c r="G2542" s="1">
        <f>1693*4237.4</f>
        <v>7173918.1999999993</v>
      </c>
      <c r="H2542" s="1">
        <f>390*4237.4</f>
        <v>1652585.9999999998</v>
      </c>
      <c r="I2542" s="1">
        <f>571*4237.4</f>
        <v>2419555.4</v>
      </c>
      <c r="J2542" s="1">
        <f>467*4237.4</f>
        <v>1978865.7999999998</v>
      </c>
      <c r="K2542" s="1">
        <v>0</v>
      </c>
      <c r="L2542" s="2">
        <v>0</v>
      </c>
      <c r="M2542" s="1">
        <v>0</v>
      </c>
      <c r="N2542" s="1">
        <v>867</v>
      </c>
      <c r="O2542" s="1">
        <f>N2542*4968</f>
        <v>4307256</v>
      </c>
      <c r="P2542" s="1">
        <v>0</v>
      </c>
      <c r="Q2542" s="1">
        <f t="shared" si="1414"/>
        <v>0</v>
      </c>
      <c r="R2542" s="1">
        <v>1940</v>
      </c>
      <c r="S2542" s="1">
        <f t="shared" si="1415"/>
        <v>7276940</v>
      </c>
      <c r="T2542" s="1">
        <v>0</v>
      </c>
      <c r="U2542" s="1">
        <v>50000</v>
      </c>
      <c r="V2542" s="1">
        <v>0</v>
      </c>
      <c r="W2542" s="1">
        <v>50000</v>
      </c>
      <c r="X2542" s="1">
        <v>0</v>
      </c>
      <c r="Y2542" s="1">
        <v>0</v>
      </c>
      <c r="Z2542" s="1">
        <v>0</v>
      </c>
      <c r="AA2542" s="1">
        <v>0</v>
      </c>
      <c r="AB2542" s="1">
        <v>0</v>
      </c>
      <c r="AC2542" s="1">
        <v>0</v>
      </c>
      <c r="AD2542" s="1">
        <v>0</v>
      </c>
    </row>
    <row r="2543" spans="1:30" s="20" customFormat="1" ht="36" customHeight="1" x14ac:dyDescent="0.25">
      <c r="A2543" s="2">
        <f t="shared" si="1419"/>
        <v>2460</v>
      </c>
      <c r="B2543" s="3">
        <f t="shared" si="1418"/>
        <v>2460</v>
      </c>
      <c r="C2543" s="19" t="s">
        <v>1486</v>
      </c>
      <c r="D2543" s="4">
        <f t="shared" si="1421"/>
        <v>25689933.25</v>
      </c>
      <c r="E2543" s="1">
        <f t="shared" si="1405"/>
        <v>16962633.25</v>
      </c>
      <c r="F2543" s="1">
        <f>804*4321.69</f>
        <v>3474638.76</v>
      </c>
      <c r="G2543" s="1">
        <f>1693*4321.69</f>
        <v>7316621.169999999</v>
      </c>
      <c r="H2543" s="1">
        <f>390*4321.69</f>
        <v>1685459.0999999999</v>
      </c>
      <c r="I2543" s="1">
        <f>571*4321.69</f>
        <v>2467684.9899999998</v>
      </c>
      <c r="J2543" s="1">
        <f>467*4321.69</f>
        <v>2018229.2299999997</v>
      </c>
      <c r="K2543" s="1">
        <v>0</v>
      </c>
      <c r="L2543" s="2">
        <v>0</v>
      </c>
      <c r="M2543" s="1">
        <v>0</v>
      </c>
      <c r="N2543" s="1">
        <v>0</v>
      </c>
      <c r="O2543" s="1">
        <v>0</v>
      </c>
      <c r="P2543" s="1">
        <v>0</v>
      </c>
      <c r="Q2543" s="1">
        <f t="shared" si="1414"/>
        <v>0</v>
      </c>
      <c r="R2543" s="1">
        <v>2300</v>
      </c>
      <c r="S2543" s="1">
        <f t="shared" si="1415"/>
        <v>8627300</v>
      </c>
      <c r="T2543" s="1">
        <v>0</v>
      </c>
      <c r="U2543" s="1">
        <v>50000</v>
      </c>
      <c r="V2543" s="1">
        <v>0</v>
      </c>
      <c r="W2543" s="1">
        <v>50000</v>
      </c>
      <c r="X2543" s="1">
        <v>0</v>
      </c>
      <c r="Y2543" s="1">
        <v>0</v>
      </c>
      <c r="Z2543" s="1">
        <v>0</v>
      </c>
      <c r="AA2543" s="1">
        <v>0</v>
      </c>
      <c r="AB2543" s="1">
        <v>0</v>
      </c>
      <c r="AC2543" s="1">
        <v>0</v>
      </c>
      <c r="AD2543" s="1">
        <v>0</v>
      </c>
    </row>
    <row r="2544" spans="1:30" s="20" customFormat="1" ht="36" customHeight="1" x14ac:dyDescent="0.25">
      <c r="A2544" s="2">
        <f t="shared" si="1419"/>
        <v>2461</v>
      </c>
      <c r="B2544" s="3">
        <f t="shared" si="1418"/>
        <v>2461</v>
      </c>
      <c r="C2544" s="19" t="s">
        <v>1487</v>
      </c>
      <c r="D2544" s="4">
        <f t="shared" si="1421"/>
        <v>30162089.5</v>
      </c>
      <c r="E2544" s="1">
        <f t="shared" si="1405"/>
        <v>17142437.5</v>
      </c>
      <c r="F2544" s="1">
        <f>804*4367.5</f>
        <v>3511470</v>
      </c>
      <c r="G2544" s="1">
        <f>1693*4367.5</f>
        <v>7394177.5</v>
      </c>
      <c r="H2544" s="1">
        <f>390*4367.5</f>
        <v>1703325</v>
      </c>
      <c r="I2544" s="1">
        <f>571*4367.5</f>
        <v>2493842.5</v>
      </c>
      <c r="J2544" s="1">
        <f>467*4367.5</f>
        <v>2039622.5</v>
      </c>
      <c r="K2544" s="1">
        <v>0</v>
      </c>
      <c r="L2544" s="2">
        <v>0</v>
      </c>
      <c r="M2544" s="1">
        <v>0</v>
      </c>
      <c r="N2544" s="1">
        <v>864</v>
      </c>
      <c r="O2544" s="1">
        <f>N2544*4968</f>
        <v>4292352</v>
      </c>
      <c r="P2544" s="1">
        <v>0</v>
      </c>
      <c r="Q2544" s="1">
        <f t="shared" si="1414"/>
        <v>0</v>
      </c>
      <c r="R2544" s="1">
        <v>2300</v>
      </c>
      <c r="S2544" s="1">
        <f t="shared" si="1415"/>
        <v>8627300</v>
      </c>
      <c r="T2544" s="1">
        <v>0</v>
      </c>
      <c r="U2544" s="1">
        <v>50000</v>
      </c>
      <c r="V2544" s="1">
        <v>0</v>
      </c>
      <c r="W2544" s="1">
        <v>50000</v>
      </c>
      <c r="X2544" s="1">
        <v>0</v>
      </c>
      <c r="Y2544" s="1">
        <v>0</v>
      </c>
      <c r="Z2544" s="1">
        <v>0</v>
      </c>
      <c r="AA2544" s="1">
        <v>0</v>
      </c>
      <c r="AB2544" s="1">
        <v>0</v>
      </c>
      <c r="AC2544" s="1">
        <v>0</v>
      </c>
      <c r="AD2544" s="1">
        <v>0</v>
      </c>
    </row>
    <row r="2545" spans="1:30" s="20" customFormat="1" ht="36" customHeight="1" x14ac:dyDescent="0.25">
      <c r="A2545" s="2">
        <f t="shared" si="1419"/>
        <v>2462</v>
      </c>
      <c r="B2545" s="3">
        <f t="shared" si="1418"/>
        <v>2462</v>
      </c>
      <c r="C2545" s="19" t="s">
        <v>1488</v>
      </c>
      <c r="D2545" s="4">
        <f t="shared" si="1421"/>
        <v>33121705</v>
      </c>
      <c r="E2545" s="1">
        <f t="shared" si="1405"/>
        <v>21393605</v>
      </c>
      <c r="F2545" s="1">
        <f>804*5450.6</f>
        <v>4382282.4000000004</v>
      </c>
      <c r="G2545" s="1">
        <f>1693*5450.6</f>
        <v>9227865.8000000007</v>
      </c>
      <c r="H2545" s="1">
        <f>390*5450.6</f>
        <v>2125734</v>
      </c>
      <c r="I2545" s="1">
        <f>571*5450.6</f>
        <v>3112292.6</v>
      </c>
      <c r="J2545" s="1">
        <f>467*5450.6</f>
        <v>2545430.2000000002</v>
      </c>
      <c r="K2545" s="1">
        <v>0</v>
      </c>
      <c r="L2545" s="2">
        <v>0</v>
      </c>
      <c r="M2545" s="1">
        <v>0</v>
      </c>
      <c r="N2545" s="1">
        <v>0</v>
      </c>
      <c r="O2545" s="1">
        <v>0</v>
      </c>
      <c r="P2545" s="1">
        <v>0</v>
      </c>
      <c r="Q2545" s="1">
        <f t="shared" si="1414"/>
        <v>0</v>
      </c>
      <c r="R2545" s="1">
        <v>3100</v>
      </c>
      <c r="S2545" s="1">
        <f t="shared" si="1415"/>
        <v>11628100</v>
      </c>
      <c r="T2545" s="1">
        <v>0</v>
      </c>
      <c r="U2545" s="1">
        <v>50000</v>
      </c>
      <c r="V2545" s="1">
        <v>0</v>
      </c>
      <c r="W2545" s="1">
        <v>50000</v>
      </c>
      <c r="X2545" s="1">
        <v>0</v>
      </c>
      <c r="Y2545" s="1">
        <v>0</v>
      </c>
      <c r="Z2545" s="1">
        <v>0</v>
      </c>
      <c r="AA2545" s="1">
        <v>0</v>
      </c>
      <c r="AB2545" s="1">
        <v>0</v>
      </c>
      <c r="AC2545" s="1">
        <v>0</v>
      </c>
      <c r="AD2545" s="1">
        <v>0</v>
      </c>
    </row>
    <row r="2546" spans="1:30" s="20" customFormat="1" ht="36" customHeight="1" x14ac:dyDescent="0.25">
      <c r="A2546" s="2">
        <f t="shared" si="1419"/>
        <v>2463</v>
      </c>
      <c r="B2546" s="3">
        <f t="shared" si="1418"/>
        <v>2463</v>
      </c>
      <c r="C2546" s="19" t="s">
        <v>1489</v>
      </c>
      <c r="D2546" s="4">
        <f t="shared" si="1421"/>
        <v>16506390</v>
      </c>
      <c r="E2546" s="1">
        <f t="shared" si="1405"/>
        <v>6055489.9999999991</v>
      </c>
      <c r="F2546" s="1">
        <f>804*1542.8</f>
        <v>1240411.2</v>
      </c>
      <c r="G2546" s="1">
        <f>1693*1542.8</f>
        <v>2611960.4</v>
      </c>
      <c r="H2546" s="1">
        <f>390*1542.8</f>
        <v>601692</v>
      </c>
      <c r="I2546" s="1">
        <f>571*1542.8</f>
        <v>880938.79999999993</v>
      </c>
      <c r="J2546" s="1">
        <f>467*1542.8</f>
        <v>720487.6</v>
      </c>
      <c r="K2546" s="1">
        <v>0</v>
      </c>
      <c r="L2546" s="2">
        <v>0</v>
      </c>
      <c r="M2546" s="1">
        <v>0</v>
      </c>
      <c r="N2546" s="1">
        <v>900</v>
      </c>
      <c r="O2546" s="1">
        <f>N2546*7750</f>
        <v>6975000</v>
      </c>
      <c r="P2546" s="1">
        <v>0</v>
      </c>
      <c r="Q2546" s="1">
        <f t="shared" si="1414"/>
        <v>0</v>
      </c>
      <c r="R2546" s="1">
        <v>900</v>
      </c>
      <c r="S2546" s="1">
        <f t="shared" si="1415"/>
        <v>3375900</v>
      </c>
      <c r="T2546" s="1">
        <v>0</v>
      </c>
      <c r="U2546" s="1">
        <v>50000</v>
      </c>
      <c r="V2546" s="1">
        <v>0</v>
      </c>
      <c r="W2546" s="1">
        <v>50000</v>
      </c>
      <c r="X2546" s="1">
        <v>0</v>
      </c>
      <c r="Y2546" s="1">
        <v>0</v>
      </c>
      <c r="Z2546" s="1">
        <v>0</v>
      </c>
      <c r="AA2546" s="1">
        <v>0</v>
      </c>
      <c r="AB2546" s="1">
        <v>0</v>
      </c>
      <c r="AC2546" s="1">
        <v>0</v>
      </c>
      <c r="AD2546" s="1">
        <v>0</v>
      </c>
    </row>
    <row r="2547" spans="1:30" s="20" customFormat="1" ht="36" customHeight="1" x14ac:dyDescent="0.25">
      <c r="A2547" s="2">
        <f t="shared" si="1419"/>
        <v>2464</v>
      </c>
      <c r="B2547" s="6">
        <f>A2547</f>
        <v>2464</v>
      </c>
      <c r="C2547" s="19" t="s">
        <v>998</v>
      </c>
      <c r="D2547" s="4">
        <f t="shared" si="1421"/>
        <v>13164011.5</v>
      </c>
      <c r="E2547" s="1">
        <f>SUM(F2547:K2547)</f>
        <v>8237711.5</v>
      </c>
      <c r="F2547" s="1">
        <f>804*2098.78</f>
        <v>1687419.12</v>
      </c>
      <c r="G2547" s="1">
        <f>1693*2098.78</f>
        <v>3553234.5400000005</v>
      </c>
      <c r="H2547" s="1">
        <f>390*2098.78</f>
        <v>818524.20000000007</v>
      </c>
      <c r="I2547" s="1">
        <f>571*2098.78</f>
        <v>1198403.3800000001</v>
      </c>
      <c r="J2547" s="1">
        <f>467*2098.78</f>
        <v>980130.26000000013</v>
      </c>
      <c r="K2547" s="1">
        <v>0</v>
      </c>
      <c r="L2547" s="2">
        <v>0</v>
      </c>
      <c r="M2547" s="1">
        <v>0</v>
      </c>
      <c r="N2547" s="1">
        <v>0</v>
      </c>
      <c r="O2547" s="1">
        <v>0</v>
      </c>
      <c r="P2547" s="1">
        <v>0</v>
      </c>
      <c r="Q2547" s="1">
        <f>P2547*1400</f>
        <v>0</v>
      </c>
      <c r="R2547" s="1">
        <v>1300</v>
      </c>
      <c r="S2547" s="1">
        <f>R2547*3751</f>
        <v>4876300</v>
      </c>
      <c r="T2547" s="1">
        <v>0</v>
      </c>
      <c r="U2547" s="1">
        <v>50000</v>
      </c>
      <c r="V2547" s="1">
        <v>0</v>
      </c>
      <c r="W2547" s="1">
        <v>0</v>
      </c>
      <c r="X2547" s="1">
        <v>0</v>
      </c>
      <c r="Y2547" s="1">
        <v>0</v>
      </c>
      <c r="Z2547" s="1">
        <v>0</v>
      </c>
      <c r="AA2547" s="1">
        <v>0</v>
      </c>
      <c r="AB2547" s="1">
        <v>0</v>
      </c>
      <c r="AC2547" s="1">
        <v>0</v>
      </c>
      <c r="AD2547" s="1">
        <v>0</v>
      </c>
    </row>
    <row r="2548" spans="1:30" s="20" customFormat="1" ht="36" customHeight="1" x14ac:dyDescent="0.25">
      <c r="A2548" s="2">
        <f t="shared" si="1419"/>
        <v>2465</v>
      </c>
      <c r="B2548" s="6">
        <f>A2548</f>
        <v>2465</v>
      </c>
      <c r="C2548" s="19" t="s">
        <v>1000</v>
      </c>
      <c r="D2548" s="4">
        <f t="shared" si="1421"/>
        <v>18545463.5</v>
      </c>
      <c r="E2548" s="1">
        <f>SUM(F2548:K2548)</f>
        <v>18495463.5</v>
      </c>
      <c r="F2548" s="1">
        <f>804*4712.22</f>
        <v>3788624.8800000004</v>
      </c>
      <c r="G2548" s="1">
        <f>1693*4712.22</f>
        <v>7977788.4600000009</v>
      </c>
      <c r="H2548" s="1">
        <f>390*4712.22</f>
        <v>1837765.8</v>
      </c>
      <c r="I2548" s="1">
        <f>571*4712.22</f>
        <v>2690677.62</v>
      </c>
      <c r="J2548" s="1">
        <f>467*4712.22</f>
        <v>2200606.7400000002</v>
      </c>
      <c r="K2548" s="1">
        <v>0</v>
      </c>
      <c r="L2548" s="2">
        <v>0</v>
      </c>
      <c r="M2548" s="1">
        <v>0</v>
      </c>
      <c r="N2548" s="1">
        <v>0</v>
      </c>
      <c r="O2548" s="1">
        <v>0</v>
      </c>
      <c r="P2548" s="1">
        <v>0</v>
      </c>
      <c r="Q2548" s="1">
        <f>P2548*1400</f>
        <v>0</v>
      </c>
      <c r="R2548" s="1">
        <v>0</v>
      </c>
      <c r="S2548" s="1">
        <f>R2548*3751</f>
        <v>0</v>
      </c>
      <c r="T2548" s="1">
        <v>0</v>
      </c>
      <c r="U2548" s="1">
        <v>50000</v>
      </c>
      <c r="V2548" s="1">
        <v>0</v>
      </c>
      <c r="W2548" s="1">
        <v>0</v>
      </c>
      <c r="X2548" s="1">
        <v>0</v>
      </c>
      <c r="Y2548" s="1">
        <v>0</v>
      </c>
      <c r="Z2548" s="1">
        <v>0</v>
      </c>
      <c r="AA2548" s="1">
        <v>0</v>
      </c>
      <c r="AB2548" s="1">
        <v>0</v>
      </c>
      <c r="AC2548" s="1">
        <v>0</v>
      </c>
      <c r="AD2548" s="1">
        <v>0</v>
      </c>
    </row>
    <row r="2549" spans="1:30" s="20" customFormat="1" ht="36" customHeight="1" x14ac:dyDescent="0.25">
      <c r="A2549" s="2">
        <f t="shared" si="1419"/>
        <v>2466</v>
      </c>
      <c r="B2549" s="6">
        <f>A2549</f>
        <v>2466</v>
      </c>
      <c r="C2549" s="19" t="s">
        <v>1001</v>
      </c>
      <c r="D2549" s="4">
        <f t="shared" si="1421"/>
        <v>18583222</v>
      </c>
      <c r="E2549" s="1">
        <f>SUM(F2549:K2549)</f>
        <v>18533222</v>
      </c>
      <c r="F2549" s="1">
        <f>804*4721.84</f>
        <v>3796359.3600000003</v>
      </c>
      <c r="G2549" s="1">
        <f>1693*4721.84</f>
        <v>7994075.1200000001</v>
      </c>
      <c r="H2549" s="1">
        <f>390*4721.84</f>
        <v>1841517.6</v>
      </c>
      <c r="I2549" s="1">
        <f>571*4721.84</f>
        <v>2696170.64</v>
      </c>
      <c r="J2549" s="1">
        <f>467*4721.84</f>
        <v>2205099.2800000003</v>
      </c>
      <c r="K2549" s="1">
        <v>0</v>
      </c>
      <c r="L2549" s="2">
        <v>0</v>
      </c>
      <c r="M2549" s="1">
        <v>0</v>
      </c>
      <c r="N2549" s="1">
        <v>0</v>
      </c>
      <c r="O2549" s="1">
        <v>0</v>
      </c>
      <c r="P2549" s="1">
        <v>0</v>
      </c>
      <c r="Q2549" s="1">
        <f>P2549*1400</f>
        <v>0</v>
      </c>
      <c r="R2549" s="1">
        <v>0</v>
      </c>
      <c r="S2549" s="1">
        <f>R2549*3751</f>
        <v>0</v>
      </c>
      <c r="T2549" s="1">
        <v>0</v>
      </c>
      <c r="U2549" s="1">
        <v>50000</v>
      </c>
      <c r="V2549" s="1">
        <v>0</v>
      </c>
      <c r="W2549" s="1">
        <v>0</v>
      </c>
      <c r="X2549" s="1">
        <v>0</v>
      </c>
      <c r="Y2549" s="1">
        <v>0</v>
      </c>
      <c r="Z2549" s="1">
        <v>0</v>
      </c>
      <c r="AA2549" s="1">
        <v>0</v>
      </c>
      <c r="AB2549" s="1">
        <v>0</v>
      </c>
      <c r="AC2549" s="1">
        <v>0</v>
      </c>
      <c r="AD2549" s="1">
        <v>0</v>
      </c>
    </row>
    <row r="2550" spans="1:30" s="20" customFormat="1" ht="36" customHeight="1" x14ac:dyDescent="0.25">
      <c r="A2550" s="2">
        <f t="shared" si="1419"/>
        <v>2467</v>
      </c>
      <c r="B2550" s="3">
        <f t="shared" si="1418"/>
        <v>2467</v>
      </c>
      <c r="C2550" s="30" t="s">
        <v>1490</v>
      </c>
      <c r="D2550" s="4">
        <f t="shared" si="1421"/>
        <v>54652917.75</v>
      </c>
      <c r="E2550" s="1">
        <f t="shared" si="1405"/>
        <v>29617853.749999996</v>
      </c>
      <c r="F2550" s="1">
        <f>804*7545.95</f>
        <v>6066943.7999999998</v>
      </c>
      <c r="G2550" s="1">
        <f>1693*7545.95</f>
        <v>12775293.35</v>
      </c>
      <c r="H2550" s="1">
        <f>390*7545.95</f>
        <v>2942920.5</v>
      </c>
      <c r="I2550" s="1">
        <f>571*7545.95</f>
        <v>4308737.45</v>
      </c>
      <c r="J2550" s="1">
        <f>467*7545.95</f>
        <v>3523958.65</v>
      </c>
      <c r="K2550" s="1">
        <v>0</v>
      </c>
      <c r="L2550" s="2">
        <v>0</v>
      </c>
      <c r="M2550" s="1">
        <v>0</v>
      </c>
      <c r="N2550" s="1">
        <v>1848</v>
      </c>
      <c r="O2550" s="1">
        <f>N2550*4968</f>
        <v>9180864</v>
      </c>
      <c r="P2550" s="1">
        <v>0</v>
      </c>
      <c r="Q2550" s="1">
        <f t="shared" si="1414"/>
        <v>0</v>
      </c>
      <c r="R2550" s="1">
        <v>4200</v>
      </c>
      <c r="S2550" s="1">
        <f t="shared" si="1415"/>
        <v>15754200</v>
      </c>
      <c r="T2550" s="1">
        <v>0</v>
      </c>
      <c r="U2550" s="1">
        <v>50000</v>
      </c>
      <c r="V2550" s="1">
        <v>0</v>
      </c>
      <c r="W2550" s="1">
        <v>50000</v>
      </c>
      <c r="X2550" s="1">
        <v>0</v>
      </c>
      <c r="Y2550" s="1">
        <v>0</v>
      </c>
      <c r="Z2550" s="1">
        <v>0</v>
      </c>
      <c r="AA2550" s="1">
        <v>0</v>
      </c>
      <c r="AB2550" s="1">
        <v>0</v>
      </c>
      <c r="AC2550" s="1">
        <v>0</v>
      </c>
      <c r="AD2550" s="1">
        <v>0</v>
      </c>
    </row>
    <row r="2551" spans="1:30" s="20" customFormat="1" ht="36" customHeight="1" x14ac:dyDescent="0.25">
      <c r="A2551" s="2">
        <f t="shared" si="1419"/>
        <v>2468</v>
      </c>
      <c r="B2551" s="3">
        <f t="shared" si="1418"/>
        <v>2468</v>
      </c>
      <c r="C2551" s="30" t="s">
        <v>1491</v>
      </c>
      <c r="D2551" s="4">
        <f t="shared" si="1421"/>
        <v>37413694</v>
      </c>
      <c r="E2551" s="1">
        <f t="shared" si="1405"/>
        <v>20235730</v>
      </c>
      <c r="F2551" s="1">
        <f>804*5155.6</f>
        <v>4145102.4000000004</v>
      </c>
      <c r="G2551" s="1">
        <f>1693*5155.6</f>
        <v>8728430.8000000007</v>
      </c>
      <c r="H2551" s="1">
        <f>390*5155.6</f>
        <v>2010684.0000000002</v>
      </c>
      <c r="I2551" s="1">
        <f>571*5155.6</f>
        <v>2943847.6</v>
      </c>
      <c r="J2551" s="1">
        <f>467*5155.6</f>
        <v>2407665.2000000002</v>
      </c>
      <c r="K2551" s="1">
        <v>0</v>
      </c>
      <c r="L2551" s="2">
        <v>0</v>
      </c>
      <c r="M2551" s="1">
        <v>0</v>
      </c>
      <c r="N2551" s="1">
        <v>1248</v>
      </c>
      <c r="O2551" s="1">
        <f>N2551*4968</f>
        <v>6200064</v>
      </c>
      <c r="P2551" s="1">
        <v>0</v>
      </c>
      <c r="Q2551" s="1">
        <f t="shared" si="1414"/>
        <v>0</v>
      </c>
      <c r="R2551" s="1">
        <v>2900</v>
      </c>
      <c r="S2551" s="1">
        <f t="shared" si="1415"/>
        <v>10877900</v>
      </c>
      <c r="T2551" s="1">
        <v>0</v>
      </c>
      <c r="U2551" s="1">
        <v>50000</v>
      </c>
      <c r="V2551" s="1">
        <v>0</v>
      </c>
      <c r="W2551" s="1">
        <v>50000</v>
      </c>
      <c r="X2551" s="1">
        <v>0</v>
      </c>
      <c r="Y2551" s="1">
        <v>0</v>
      </c>
      <c r="Z2551" s="1">
        <v>0</v>
      </c>
      <c r="AA2551" s="1">
        <v>0</v>
      </c>
      <c r="AB2551" s="1">
        <v>0</v>
      </c>
      <c r="AC2551" s="1">
        <v>0</v>
      </c>
      <c r="AD2551" s="1">
        <v>0</v>
      </c>
    </row>
    <row r="2552" spans="1:30" s="20" customFormat="1" ht="36" customHeight="1" x14ac:dyDescent="0.25">
      <c r="A2552" s="2">
        <f t="shared" si="1419"/>
        <v>2469</v>
      </c>
      <c r="B2552" s="3">
        <f t="shared" ref="B2552" si="1424">A2552</f>
        <v>2469</v>
      </c>
      <c r="C2552" s="30" t="s">
        <v>1492</v>
      </c>
      <c r="D2552" s="4">
        <f t="shared" si="1421"/>
        <v>36317834</v>
      </c>
      <c r="E2552" s="1">
        <f t="shared" ref="E2552" si="1425">SUM(F2552:K2552)</f>
        <v>27036969.999999996</v>
      </c>
      <c r="F2552" s="1">
        <f>804*6888.4</f>
        <v>5538273.5999999996</v>
      </c>
      <c r="G2552" s="1">
        <f>1693*6888.4</f>
        <v>11662061.199999999</v>
      </c>
      <c r="H2552" s="1">
        <f>390*6888.4</f>
        <v>2686476</v>
      </c>
      <c r="I2552" s="1">
        <f>571*6888.4</f>
        <v>3933276.4</v>
      </c>
      <c r="J2552" s="1">
        <f>467*6888.4</f>
        <v>3216882.8</v>
      </c>
      <c r="K2552" s="1">
        <v>0</v>
      </c>
      <c r="L2552" s="2">
        <v>0</v>
      </c>
      <c r="M2552" s="1">
        <v>0</v>
      </c>
      <c r="N2552" s="1">
        <v>1848</v>
      </c>
      <c r="O2552" s="1">
        <f>N2552*4968</f>
        <v>9180864</v>
      </c>
      <c r="P2552" s="1">
        <v>0</v>
      </c>
      <c r="Q2552" s="1">
        <f t="shared" ref="Q2552" si="1426">P2552*1400</f>
        <v>0</v>
      </c>
      <c r="R2552" s="1">
        <v>0</v>
      </c>
      <c r="S2552" s="1">
        <f t="shared" ref="S2552" si="1427">R2552*3751</f>
        <v>0</v>
      </c>
      <c r="T2552" s="1">
        <v>0</v>
      </c>
      <c r="U2552" s="1">
        <v>50000</v>
      </c>
      <c r="V2552" s="1">
        <v>0</v>
      </c>
      <c r="W2552" s="1">
        <v>50000</v>
      </c>
      <c r="X2552" s="1">
        <v>0</v>
      </c>
      <c r="Y2552" s="1">
        <v>0</v>
      </c>
      <c r="Z2552" s="1">
        <v>0</v>
      </c>
      <c r="AA2552" s="1">
        <v>0</v>
      </c>
      <c r="AB2552" s="1">
        <v>0</v>
      </c>
      <c r="AC2552" s="1">
        <v>0</v>
      </c>
      <c r="AD2552" s="1">
        <v>0</v>
      </c>
    </row>
    <row r="2553" spans="1:30" s="20" customFormat="1" ht="36" customHeight="1" x14ac:dyDescent="0.25">
      <c r="A2553" s="2">
        <f t="shared" si="1419"/>
        <v>2470</v>
      </c>
      <c r="B2553" s="3">
        <f t="shared" si="1418"/>
        <v>2470</v>
      </c>
      <c r="C2553" s="30" t="s">
        <v>1786</v>
      </c>
      <c r="D2553" s="4">
        <f t="shared" si="1421"/>
        <v>5991728</v>
      </c>
      <c r="E2553" s="1">
        <f t="shared" si="1405"/>
        <v>0</v>
      </c>
      <c r="F2553" s="1">
        <v>0</v>
      </c>
      <c r="G2553" s="1">
        <v>0</v>
      </c>
      <c r="H2553" s="1">
        <v>0</v>
      </c>
      <c r="I2553" s="1">
        <v>0</v>
      </c>
      <c r="J2553" s="1">
        <v>0</v>
      </c>
      <c r="K2553" s="1">
        <v>0</v>
      </c>
      <c r="L2553" s="2">
        <v>0</v>
      </c>
      <c r="M2553" s="1">
        <v>0</v>
      </c>
      <c r="N2553" s="1">
        <v>1196</v>
      </c>
      <c r="O2553" s="1">
        <f>N2553*4968</f>
        <v>5941728</v>
      </c>
      <c r="P2553" s="1">
        <v>0</v>
      </c>
      <c r="Q2553" s="1">
        <f t="shared" si="1414"/>
        <v>0</v>
      </c>
      <c r="R2553" s="1">
        <v>0</v>
      </c>
      <c r="S2553" s="1">
        <f t="shared" si="1415"/>
        <v>0</v>
      </c>
      <c r="T2553" s="1">
        <v>0</v>
      </c>
      <c r="U2553" s="1">
        <v>0</v>
      </c>
      <c r="V2553" s="1">
        <v>0</v>
      </c>
      <c r="W2553" s="1">
        <v>50000</v>
      </c>
      <c r="X2553" s="1">
        <v>0</v>
      </c>
      <c r="Y2553" s="1">
        <v>0</v>
      </c>
      <c r="Z2553" s="1">
        <v>0</v>
      </c>
      <c r="AA2553" s="1">
        <v>0</v>
      </c>
      <c r="AB2553" s="1">
        <v>0</v>
      </c>
      <c r="AC2553" s="1">
        <v>0</v>
      </c>
      <c r="AD2553" s="1">
        <v>0</v>
      </c>
    </row>
    <row r="2554" spans="1:30" s="20" customFormat="1" ht="36" customHeight="1" x14ac:dyDescent="0.25">
      <c r="A2554" s="2">
        <f t="shared" si="1419"/>
        <v>2471</v>
      </c>
      <c r="B2554" s="6">
        <f>A2554</f>
        <v>2471</v>
      </c>
      <c r="C2554" s="19" t="s">
        <v>1949</v>
      </c>
      <c r="D2554" s="4">
        <f t="shared" si="1421"/>
        <v>7200000</v>
      </c>
      <c r="E2554" s="1">
        <f>SUM(F2554:K2554)</f>
        <v>0</v>
      </c>
      <c r="F2554" s="1">
        <v>0</v>
      </c>
      <c r="G2554" s="1">
        <v>0</v>
      </c>
      <c r="H2554" s="1">
        <v>0</v>
      </c>
      <c r="I2554" s="1">
        <v>0</v>
      </c>
      <c r="J2554" s="1">
        <v>0</v>
      </c>
      <c r="K2554" s="1">
        <v>0</v>
      </c>
      <c r="L2554" s="2">
        <v>2</v>
      </c>
      <c r="M2554" s="1">
        <f t="shared" ref="M2554" si="1428">L2554*3500000</f>
        <v>7000000</v>
      </c>
      <c r="N2554" s="1">
        <v>0</v>
      </c>
      <c r="O2554" s="1">
        <v>0</v>
      </c>
      <c r="P2554" s="1">
        <v>0</v>
      </c>
      <c r="Q2554" s="1">
        <f>P2554*1400</f>
        <v>0</v>
      </c>
      <c r="R2554" s="1">
        <v>0</v>
      </c>
      <c r="S2554" s="1">
        <f>R2554*3751</f>
        <v>0</v>
      </c>
      <c r="T2554" s="1">
        <v>0</v>
      </c>
      <c r="U2554" s="1">
        <v>200000</v>
      </c>
      <c r="V2554" s="1">
        <v>0</v>
      </c>
      <c r="W2554" s="1">
        <v>0</v>
      </c>
      <c r="X2554" s="1">
        <v>0</v>
      </c>
      <c r="Y2554" s="1">
        <v>0</v>
      </c>
      <c r="Z2554" s="1">
        <v>0</v>
      </c>
      <c r="AA2554" s="1">
        <v>0</v>
      </c>
      <c r="AB2554" s="1">
        <v>0</v>
      </c>
      <c r="AC2554" s="1">
        <v>0</v>
      </c>
      <c r="AD2554" s="1">
        <v>0</v>
      </c>
    </row>
    <row r="2555" spans="1:30" s="20" customFormat="1" ht="36" customHeight="1" x14ac:dyDescent="0.25">
      <c r="A2555" s="2">
        <f t="shared" si="1419"/>
        <v>2472</v>
      </c>
      <c r="B2555" s="6">
        <f>A2555</f>
        <v>2472</v>
      </c>
      <c r="C2555" s="19" t="s">
        <v>1950</v>
      </c>
      <c r="D2555" s="4">
        <f t="shared" si="1421"/>
        <v>7200000</v>
      </c>
      <c r="E2555" s="1">
        <f>SUM(F2555:K2555)</f>
        <v>0</v>
      </c>
      <c r="F2555" s="1">
        <v>0</v>
      </c>
      <c r="G2555" s="1">
        <v>0</v>
      </c>
      <c r="H2555" s="1">
        <v>0</v>
      </c>
      <c r="I2555" s="1">
        <v>0</v>
      </c>
      <c r="J2555" s="1">
        <v>0</v>
      </c>
      <c r="K2555" s="1">
        <v>0</v>
      </c>
      <c r="L2555" s="2">
        <v>2</v>
      </c>
      <c r="M2555" s="1">
        <f t="shared" ref="M2555:M2556" si="1429">L2555*3500000</f>
        <v>7000000</v>
      </c>
      <c r="N2555" s="1">
        <v>0</v>
      </c>
      <c r="O2555" s="1">
        <v>0</v>
      </c>
      <c r="P2555" s="1">
        <v>0</v>
      </c>
      <c r="Q2555" s="1">
        <f>P2555*1400</f>
        <v>0</v>
      </c>
      <c r="R2555" s="1">
        <v>0</v>
      </c>
      <c r="S2555" s="1">
        <f>R2555*3751</f>
        <v>0</v>
      </c>
      <c r="T2555" s="1">
        <v>0</v>
      </c>
      <c r="U2555" s="1">
        <v>200000</v>
      </c>
      <c r="V2555" s="1">
        <v>0</v>
      </c>
      <c r="W2555" s="1">
        <v>0</v>
      </c>
      <c r="X2555" s="1">
        <v>0</v>
      </c>
      <c r="Y2555" s="1">
        <v>0</v>
      </c>
      <c r="Z2555" s="1">
        <v>0</v>
      </c>
      <c r="AA2555" s="1">
        <v>0</v>
      </c>
      <c r="AB2555" s="1">
        <v>0</v>
      </c>
      <c r="AC2555" s="1">
        <v>0</v>
      </c>
      <c r="AD2555" s="1">
        <v>0</v>
      </c>
    </row>
    <row r="2556" spans="1:30" s="20" customFormat="1" ht="36" customHeight="1" x14ac:dyDescent="0.25">
      <c r="A2556" s="2">
        <f t="shared" si="1419"/>
        <v>2473</v>
      </c>
      <c r="B2556" s="6">
        <f>A2556</f>
        <v>2473</v>
      </c>
      <c r="C2556" s="19" t="s">
        <v>1951</v>
      </c>
      <c r="D2556" s="4">
        <f t="shared" si="1421"/>
        <v>17700000</v>
      </c>
      <c r="E2556" s="1">
        <f>SUM(F2556:K2556)</f>
        <v>0</v>
      </c>
      <c r="F2556" s="1">
        <v>0</v>
      </c>
      <c r="G2556" s="1">
        <v>0</v>
      </c>
      <c r="H2556" s="1">
        <v>0</v>
      </c>
      <c r="I2556" s="1">
        <v>0</v>
      </c>
      <c r="J2556" s="1">
        <v>0</v>
      </c>
      <c r="K2556" s="1">
        <v>0</v>
      </c>
      <c r="L2556" s="2">
        <v>5</v>
      </c>
      <c r="M2556" s="1">
        <f t="shared" si="1429"/>
        <v>17500000</v>
      </c>
      <c r="N2556" s="1">
        <v>0</v>
      </c>
      <c r="O2556" s="1">
        <v>0</v>
      </c>
      <c r="P2556" s="1">
        <v>0</v>
      </c>
      <c r="Q2556" s="1">
        <f>P2556*1400</f>
        <v>0</v>
      </c>
      <c r="R2556" s="1">
        <v>0</v>
      </c>
      <c r="S2556" s="1">
        <f>R2556*3751</f>
        <v>0</v>
      </c>
      <c r="T2556" s="1">
        <v>0</v>
      </c>
      <c r="U2556" s="1">
        <v>200000</v>
      </c>
      <c r="V2556" s="1">
        <v>0</v>
      </c>
      <c r="W2556" s="1">
        <v>0</v>
      </c>
      <c r="X2556" s="1">
        <v>0</v>
      </c>
      <c r="Y2556" s="1">
        <v>0</v>
      </c>
      <c r="Z2556" s="1">
        <v>0</v>
      </c>
      <c r="AA2556" s="1">
        <v>0</v>
      </c>
      <c r="AB2556" s="1">
        <v>0</v>
      </c>
      <c r="AC2556" s="1">
        <v>0</v>
      </c>
      <c r="AD2556" s="1">
        <v>0</v>
      </c>
    </row>
    <row r="2557" spans="1:30" s="20" customFormat="1" ht="36" customHeight="1" x14ac:dyDescent="0.25">
      <c r="A2557" s="2">
        <f t="shared" si="1419"/>
        <v>2474</v>
      </c>
      <c r="B2557" s="3">
        <f t="shared" si="1418"/>
        <v>2474</v>
      </c>
      <c r="C2557" s="19" t="s">
        <v>1493</v>
      </c>
      <c r="D2557" s="4">
        <f t="shared" si="1421"/>
        <v>21372432.5</v>
      </c>
      <c r="E2557" s="1">
        <f t="shared" si="1405"/>
        <v>10208532.500000002</v>
      </c>
      <c r="F2557" s="1">
        <f>804*2600.9</f>
        <v>2091123.6</v>
      </c>
      <c r="G2557" s="1">
        <f>1693*2600.9</f>
        <v>4403323.7</v>
      </c>
      <c r="H2557" s="1">
        <f>390*2600.9</f>
        <v>1014351</v>
      </c>
      <c r="I2557" s="1">
        <f>571*2600.9</f>
        <v>1485113.9000000001</v>
      </c>
      <c r="J2557" s="1">
        <f>467*2600.9</f>
        <v>1214620.3</v>
      </c>
      <c r="K2557" s="1">
        <v>0</v>
      </c>
      <c r="L2557" s="2">
        <v>0</v>
      </c>
      <c r="M2557" s="1">
        <v>0</v>
      </c>
      <c r="N2557" s="1">
        <v>750</v>
      </c>
      <c r="O2557" s="1">
        <f>N2557*7750</f>
        <v>5812500</v>
      </c>
      <c r="P2557" s="1">
        <v>0</v>
      </c>
      <c r="Q2557" s="1">
        <f t="shared" si="1414"/>
        <v>0</v>
      </c>
      <c r="R2557" s="1">
        <v>1400</v>
      </c>
      <c r="S2557" s="1">
        <f t="shared" si="1415"/>
        <v>5251400</v>
      </c>
      <c r="T2557" s="1">
        <v>0</v>
      </c>
      <c r="U2557" s="1">
        <v>50000</v>
      </c>
      <c r="V2557" s="1">
        <v>0</v>
      </c>
      <c r="W2557" s="1">
        <v>50000</v>
      </c>
      <c r="X2557" s="1">
        <v>0</v>
      </c>
      <c r="Y2557" s="1">
        <v>0</v>
      </c>
      <c r="Z2557" s="1">
        <v>0</v>
      </c>
      <c r="AA2557" s="1">
        <v>0</v>
      </c>
      <c r="AB2557" s="1">
        <v>0</v>
      </c>
      <c r="AC2557" s="1">
        <v>0</v>
      </c>
      <c r="AD2557" s="1">
        <v>0</v>
      </c>
    </row>
    <row r="2558" spans="1:30" s="20" customFormat="1" ht="36" customHeight="1" x14ac:dyDescent="0.25">
      <c r="A2558" s="2">
        <f t="shared" si="1419"/>
        <v>2475</v>
      </c>
      <c r="B2558" s="6">
        <f t="shared" si="1418"/>
        <v>2475</v>
      </c>
      <c r="C2558" s="19" t="s">
        <v>1011</v>
      </c>
      <c r="D2558" s="4">
        <f t="shared" si="1421"/>
        <v>1468643.49</v>
      </c>
      <c r="E2558" s="1">
        <f t="shared" si="1405"/>
        <v>1418643.49</v>
      </c>
      <c r="F2558" s="1">
        <f>804*854.09</f>
        <v>686688.36</v>
      </c>
      <c r="G2558" s="1">
        <v>0</v>
      </c>
      <c r="H2558" s="1">
        <f>390*854.09</f>
        <v>333095.10000000003</v>
      </c>
      <c r="I2558" s="1">
        <v>0</v>
      </c>
      <c r="J2558" s="1">
        <f>467*854.09</f>
        <v>398860.03</v>
      </c>
      <c r="K2558" s="1">
        <v>0</v>
      </c>
      <c r="L2558" s="2">
        <v>0</v>
      </c>
      <c r="M2558" s="1">
        <v>0</v>
      </c>
      <c r="N2558" s="1">
        <v>0</v>
      </c>
      <c r="O2558" s="1">
        <v>0</v>
      </c>
      <c r="P2558" s="1">
        <v>0</v>
      </c>
      <c r="Q2558" s="1">
        <f>P2558*1400</f>
        <v>0</v>
      </c>
      <c r="R2558" s="1">
        <v>0</v>
      </c>
      <c r="S2558" s="1">
        <f t="shared" si="1415"/>
        <v>0</v>
      </c>
      <c r="T2558" s="1">
        <v>0</v>
      </c>
      <c r="U2558" s="1">
        <v>50000</v>
      </c>
      <c r="V2558" s="1">
        <v>0</v>
      </c>
      <c r="W2558" s="1">
        <v>0</v>
      </c>
      <c r="X2558" s="1">
        <v>0</v>
      </c>
      <c r="Y2558" s="1">
        <v>0</v>
      </c>
      <c r="Z2558" s="1">
        <v>0</v>
      </c>
      <c r="AA2558" s="1">
        <v>0</v>
      </c>
      <c r="AB2558" s="1">
        <v>0</v>
      </c>
      <c r="AC2558" s="1">
        <v>0</v>
      </c>
      <c r="AD2558" s="1">
        <v>0</v>
      </c>
    </row>
    <row r="2559" spans="1:30" s="20" customFormat="1" ht="36" customHeight="1" x14ac:dyDescent="0.25">
      <c r="A2559" s="2">
        <f t="shared" si="1419"/>
        <v>2476</v>
      </c>
      <c r="B2559" s="6">
        <f t="shared" si="1418"/>
        <v>2476</v>
      </c>
      <c r="C2559" s="19" t="s">
        <v>1013</v>
      </c>
      <c r="D2559" s="4">
        <f t="shared" si="1421"/>
        <v>936193.33</v>
      </c>
      <c r="E2559" s="1">
        <f t="shared" si="1405"/>
        <v>886193.33</v>
      </c>
      <c r="F2559" s="1">
        <f>804*533.53</f>
        <v>428958.12</v>
      </c>
      <c r="G2559" s="1">
        <v>0</v>
      </c>
      <c r="H2559" s="1">
        <f>390*533.53</f>
        <v>208076.69999999998</v>
      </c>
      <c r="I2559" s="1">
        <v>0</v>
      </c>
      <c r="J2559" s="1">
        <f>467*533.53</f>
        <v>249158.50999999998</v>
      </c>
      <c r="K2559" s="1">
        <v>0</v>
      </c>
      <c r="L2559" s="2">
        <v>0</v>
      </c>
      <c r="M2559" s="1">
        <v>0</v>
      </c>
      <c r="N2559" s="1">
        <v>0</v>
      </c>
      <c r="O2559" s="1">
        <v>0</v>
      </c>
      <c r="P2559" s="1">
        <v>0</v>
      </c>
      <c r="Q2559" s="1">
        <f>P2559*1400</f>
        <v>0</v>
      </c>
      <c r="R2559" s="1">
        <v>0</v>
      </c>
      <c r="S2559" s="1">
        <f t="shared" si="1415"/>
        <v>0</v>
      </c>
      <c r="T2559" s="1">
        <v>0</v>
      </c>
      <c r="U2559" s="1">
        <v>50000</v>
      </c>
      <c r="V2559" s="1">
        <v>0</v>
      </c>
      <c r="W2559" s="1">
        <v>0</v>
      </c>
      <c r="X2559" s="1">
        <v>0</v>
      </c>
      <c r="Y2559" s="1">
        <v>0</v>
      </c>
      <c r="Z2559" s="1">
        <v>0</v>
      </c>
      <c r="AA2559" s="1">
        <v>0</v>
      </c>
      <c r="AB2559" s="1">
        <v>0</v>
      </c>
      <c r="AC2559" s="1">
        <v>0</v>
      </c>
      <c r="AD2559" s="1">
        <v>0</v>
      </c>
    </row>
    <row r="2560" spans="1:30" s="20" customFormat="1" ht="36" customHeight="1" x14ac:dyDescent="0.25">
      <c r="A2560" s="2">
        <f t="shared" si="1419"/>
        <v>2477</v>
      </c>
      <c r="B2560" s="6">
        <f t="shared" si="1418"/>
        <v>2477</v>
      </c>
      <c r="C2560" s="19" t="s">
        <v>1014</v>
      </c>
      <c r="D2560" s="4">
        <f t="shared" si="1421"/>
        <v>1460620.86</v>
      </c>
      <c r="E2560" s="1">
        <f t="shared" si="1405"/>
        <v>1410620.86</v>
      </c>
      <c r="F2560" s="1">
        <f>804*849.26</f>
        <v>682805.04</v>
      </c>
      <c r="G2560" s="1">
        <v>0</v>
      </c>
      <c r="H2560" s="1">
        <f>390*849.26</f>
        <v>331211.40000000002</v>
      </c>
      <c r="I2560" s="1">
        <v>0</v>
      </c>
      <c r="J2560" s="1">
        <f>467*849.26</f>
        <v>396604.42</v>
      </c>
      <c r="K2560" s="1">
        <v>0</v>
      </c>
      <c r="L2560" s="2">
        <v>0</v>
      </c>
      <c r="M2560" s="1">
        <v>0</v>
      </c>
      <c r="N2560" s="1">
        <v>0</v>
      </c>
      <c r="O2560" s="1">
        <v>0</v>
      </c>
      <c r="P2560" s="1">
        <v>0</v>
      </c>
      <c r="Q2560" s="1">
        <f>P2560*1400</f>
        <v>0</v>
      </c>
      <c r="R2560" s="1">
        <v>0</v>
      </c>
      <c r="S2560" s="1">
        <f t="shared" si="1415"/>
        <v>0</v>
      </c>
      <c r="T2560" s="1">
        <v>0</v>
      </c>
      <c r="U2560" s="1">
        <v>50000</v>
      </c>
      <c r="V2560" s="1">
        <v>0</v>
      </c>
      <c r="W2560" s="1">
        <v>0</v>
      </c>
      <c r="X2560" s="1">
        <v>0</v>
      </c>
      <c r="Y2560" s="1">
        <v>0</v>
      </c>
      <c r="Z2560" s="1">
        <v>0</v>
      </c>
      <c r="AA2560" s="1">
        <v>0</v>
      </c>
      <c r="AB2560" s="1">
        <v>0</v>
      </c>
      <c r="AC2560" s="1">
        <v>0</v>
      </c>
      <c r="AD2560" s="1">
        <v>0</v>
      </c>
    </row>
    <row r="2561" spans="1:30" s="20" customFormat="1" ht="36" customHeight="1" x14ac:dyDescent="0.25">
      <c r="A2561" s="2">
        <f t="shared" si="1419"/>
        <v>2478</v>
      </c>
      <c r="B2561" s="3">
        <f t="shared" si="1418"/>
        <v>2478</v>
      </c>
      <c r="C2561" s="30" t="s">
        <v>1494</v>
      </c>
      <c r="D2561" s="4">
        <f t="shared" si="1421"/>
        <v>28753476.5</v>
      </c>
      <c r="E2561" s="1">
        <f t="shared" si="1405"/>
        <v>17396934.5</v>
      </c>
      <c r="F2561" s="1">
        <f>804*4432.34</f>
        <v>3563601.3600000003</v>
      </c>
      <c r="G2561" s="1">
        <f>1693*4432.34</f>
        <v>7503951.6200000001</v>
      </c>
      <c r="H2561" s="1">
        <f>390*4432.34</f>
        <v>1728612.6</v>
      </c>
      <c r="I2561" s="1">
        <f>571*4432.34</f>
        <v>2530866.14</v>
      </c>
      <c r="J2561" s="1">
        <f>467*4432.34</f>
        <v>2069902.78</v>
      </c>
      <c r="K2561" s="1">
        <v>0</v>
      </c>
      <c r="L2561" s="2">
        <v>0</v>
      </c>
      <c r="M2561" s="1">
        <v>0</v>
      </c>
      <c r="N2561" s="1">
        <v>869</v>
      </c>
      <c r="O2561" s="1">
        <f t="shared" ref="O2561:O2576" si="1430">N2561*4968</f>
        <v>4317192</v>
      </c>
      <c r="P2561" s="1">
        <v>0</v>
      </c>
      <c r="Q2561" s="1">
        <f t="shared" si="1414"/>
        <v>0</v>
      </c>
      <c r="R2561" s="1">
        <v>1850</v>
      </c>
      <c r="S2561" s="1">
        <f t="shared" si="1415"/>
        <v>6939350</v>
      </c>
      <c r="T2561" s="1">
        <v>0</v>
      </c>
      <c r="U2561" s="1">
        <v>50000</v>
      </c>
      <c r="V2561" s="1">
        <v>0</v>
      </c>
      <c r="W2561" s="1">
        <v>50000</v>
      </c>
      <c r="X2561" s="1">
        <v>0</v>
      </c>
      <c r="Y2561" s="1">
        <v>0</v>
      </c>
      <c r="Z2561" s="1">
        <v>0</v>
      </c>
      <c r="AA2561" s="1">
        <v>0</v>
      </c>
      <c r="AB2561" s="1">
        <v>0</v>
      </c>
      <c r="AC2561" s="1">
        <v>0</v>
      </c>
      <c r="AD2561" s="1">
        <v>0</v>
      </c>
    </row>
    <row r="2562" spans="1:30" s="20" customFormat="1" ht="36" customHeight="1" x14ac:dyDescent="0.25">
      <c r="A2562" s="2">
        <f t="shared" si="1419"/>
        <v>2479</v>
      </c>
      <c r="B2562" s="3">
        <f t="shared" si="1418"/>
        <v>2479</v>
      </c>
      <c r="C2562" s="30" t="s">
        <v>1495</v>
      </c>
      <c r="D2562" s="4">
        <f t="shared" si="1421"/>
        <v>16374206</v>
      </c>
      <c r="E2562" s="1">
        <f t="shared" si="1405"/>
        <v>9284038</v>
      </c>
      <c r="F2562" s="1">
        <f>804*2365.36</f>
        <v>1901749.4400000002</v>
      </c>
      <c r="G2562" s="1">
        <f>1693*2365.36</f>
        <v>4004554.4800000004</v>
      </c>
      <c r="H2562" s="1">
        <f>390*2365.36</f>
        <v>922490.4</v>
      </c>
      <c r="I2562" s="1">
        <f>571*2365.36</f>
        <v>1350620.56</v>
      </c>
      <c r="J2562" s="1">
        <f>467*2365.36</f>
        <v>1104623.1200000001</v>
      </c>
      <c r="K2562" s="1">
        <v>0</v>
      </c>
      <c r="L2562" s="2">
        <v>0</v>
      </c>
      <c r="M2562" s="1">
        <v>0</v>
      </c>
      <c r="N2562" s="1">
        <v>501</v>
      </c>
      <c r="O2562" s="1">
        <f t="shared" si="1430"/>
        <v>2488968</v>
      </c>
      <c r="P2562" s="1">
        <v>0</v>
      </c>
      <c r="Q2562" s="1">
        <f t="shared" si="1414"/>
        <v>0</v>
      </c>
      <c r="R2562" s="1">
        <v>1200</v>
      </c>
      <c r="S2562" s="1">
        <f t="shared" si="1415"/>
        <v>4501200</v>
      </c>
      <c r="T2562" s="1">
        <v>0</v>
      </c>
      <c r="U2562" s="1">
        <v>50000</v>
      </c>
      <c r="V2562" s="1">
        <v>0</v>
      </c>
      <c r="W2562" s="1">
        <v>50000</v>
      </c>
      <c r="X2562" s="1">
        <v>0</v>
      </c>
      <c r="Y2562" s="1">
        <v>0</v>
      </c>
      <c r="Z2562" s="1">
        <v>0</v>
      </c>
      <c r="AA2562" s="1">
        <v>0</v>
      </c>
      <c r="AB2562" s="1">
        <v>0</v>
      </c>
      <c r="AC2562" s="1">
        <v>0</v>
      </c>
      <c r="AD2562" s="1">
        <v>0</v>
      </c>
    </row>
    <row r="2563" spans="1:30" s="20" customFormat="1" ht="36" customHeight="1" x14ac:dyDescent="0.25">
      <c r="A2563" s="2">
        <f t="shared" si="1419"/>
        <v>2480</v>
      </c>
      <c r="B2563" s="3">
        <f t="shared" si="1418"/>
        <v>2480</v>
      </c>
      <c r="C2563" s="30" t="s">
        <v>1496</v>
      </c>
      <c r="D2563" s="4">
        <f t="shared" si="1421"/>
        <v>41463114</v>
      </c>
      <c r="E2563" s="1">
        <f t="shared" ref="E2563:E2615" si="1431">SUM(F2563:K2563)</f>
        <v>23564758</v>
      </c>
      <c r="F2563" s="1">
        <f>804*6003.76</f>
        <v>4827023.04</v>
      </c>
      <c r="G2563" s="1">
        <f>1693*6003.76</f>
        <v>10164365.68</v>
      </c>
      <c r="H2563" s="1">
        <f>390*6003.76</f>
        <v>2341466.4</v>
      </c>
      <c r="I2563" s="1">
        <f>571*6003.76</f>
        <v>3428146.96</v>
      </c>
      <c r="J2563" s="1">
        <f>467*6003.76</f>
        <v>2803755.92</v>
      </c>
      <c r="K2563" s="1">
        <v>0</v>
      </c>
      <c r="L2563" s="2">
        <v>0</v>
      </c>
      <c r="M2563" s="1">
        <v>0</v>
      </c>
      <c r="N2563" s="1">
        <v>1242</v>
      </c>
      <c r="O2563" s="1">
        <f t="shared" si="1430"/>
        <v>6170256</v>
      </c>
      <c r="P2563" s="1">
        <v>0</v>
      </c>
      <c r="Q2563" s="1">
        <f t="shared" si="1414"/>
        <v>0</v>
      </c>
      <c r="R2563" s="1">
        <v>3100</v>
      </c>
      <c r="S2563" s="1">
        <f t="shared" si="1415"/>
        <v>11628100</v>
      </c>
      <c r="T2563" s="1">
        <v>0</v>
      </c>
      <c r="U2563" s="1">
        <v>50000</v>
      </c>
      <c r="V2563" s="1">
        <v>0</v>
      </c>
      <c r="W2563" s="1">
        <v>50000</v>
      </c>
      <c r="X2563" s="1">
        <v>0</v>
      </c>
      <c r="Y2563" s="1">
        <v>0</v>
      </c>
      <c r="Z2563" s="1">
        <v>0</v>
      </c>
      <c r="AA2563" s="1">
        <v>0</v>
      </c>
      <c r="AB2563" s="1">
        <v>0</v>
      </c>
      <c r="AC2563" s="1">
        <v>0</v>
      </c>
      <c r="AD2563" s="1">
        <v>0</v>
      </c>
    </row>
    <row r="2564" spans="1:30" s="20" customFormat="1" ht="36" customHeight="1" x14ac:dyDescent="0.25">
      <c r="A2564" s="2">
        <f t="shared" si="1419"/>
        <v>2481</v>
      </c>
      <c r="B2564" s="3">
        <f t="shared" si="1418"/>
        <v>2481</v>
      </c>
      <c r="C2564" s="19" t="s">
        <v>1497</v>
      </c>
      <c r="D2564" s="4">
        <f t="shared" si="1421"/>
        <v>26625493.5</v>
      </c>
      <c r="E2564" s="1">
        <f t="shared" si="1431"/>
        <v>15673859.5</v>
      </c>
      <c r="F2564" s="1">
        <f>804*3993.34</f>
        <v>3210645.3600000003</v>
      </c>
      <c r="G2564" s="1">
        <f>1693*3993.34</f>
        <v>6760724.6200000001</v>
      </c>
      <c r="H2564" s="1">
        <f>390*3993.34</f>
        <v>1557402.6</v>
      </c>
      <c r="I2564" s="1">
        <f>571*3993.34</f>
        <v>2280197.14</v>
      </c>
      <c r="J2564" s="1">
        <f>467*3993.34</f>
        <v>1864889.78</v>
      </c>
      <c r="K2564" s="1">
        <v>0</v>
      </c>
      <c r="L2564" s="2">
        <v>0</v>
      </c>
      <c r="M2564" s="1">
        <v>0</v>
      </c>
      <c r="N2564" s="1">
        <v>863</v>
      </c>
      <c r="O2564" s="1">
        <f t="shared" si="1430"/>
        <v>4287384</v>
      </c>
      <c r="P2564" s="1">
        <v>0</v>
      </c>
      <c r="Q2564" s="1">
        <f t="shared" si="1414"/>
        <v>0</v>
      </c>
      <c r="R2564" s="1">
        <v>1750</v>
      </c>
      <c r="S2564" s="1">
        <f t="shared" si="1415"/>
        <v>6564250</v>
      </c>
      <c r="T2564" s="1">
        <v>0</v>
      </c>
      <c r="U2564" s="1">
        <v>50000</v>
      </c>
      <c r="V2564" s="1">
        <v>0</v>
      </c>
      <c r="W2564" s="1">
        <v>50000</v>
      </c>
      <c r="X2564" s="1">
        <v>0</v>
      </c>
      <c r="Y2564" s="1">
        <v>0</v>
      </c>
      <c r="Z2564" s="1">
        <v>0</v>
      </c>
      <c r="AA2564" s="1">
        <v>0</v>
      </c>
      <c r="AB2564" s="1">
        <v>0</v>
      </c>
      <c r="AC2564" s="1">
        <v>0</v>
      </c>
      <c r="AD2564" s="1">
        <v>0</v>
      </c>
    </row>
    <row r="2565" spans="1:30" s="20" customFormat="1" ht="36" customHeight="1" x14ac:dyDescent="0.25">
      <c r="A2565" s="2">
        <f t="shared" si="1419"/>
        <v>2482</v>
      </c>
      <c r="B2565" s="6">
        <f t="shared" si="1418"/>
        <v>2482</v>
      </c>
      <c r="C2565" s="19" t="s">
        <v>1024</v>
      </c>
      <c r="D2565" s="4">
        <f t="shared" si="1421"/>
        <v>11339273</v>
      </c>
      <c r="E2565" s="1">
        <f t="shared" ref="E2565" si="1432">SUM(F2565:K2565)</f>
        <v>0</v>
      </c>
      <c r="F2565" s="1">
        <v>0</v>
      </c>
      <c r="G2565" s="1">
        <v>0</v>
      </c>
      <c r="H2565" s="1">
        <v>0</v>
      </c>
      <c r="I2565" s="1">
        <v>0</v>
      </c>
      <c r="J2565" s="1">
        <v>0</v>
      </c>
      <c r="K2565" s="1">
        <v>0</v>
      </c>
      <c r="L2565" s="2">
        <v>0</v>
      </c>
      <c r="M2565" s="1">
        <v>0</v>
      </c>
      <c r="N2565" s="1">
        <v>0</v>
      </c>
      <c r="O2565" s="1">
        <v>0</v>
      </c>
      <c r="P2565" s="1">
        <v>0</v>
      </c>
      <c r="Q2565" s="1">
        <f>P2565*1400</f>
        <v>0</v>
      </c>
      <c r="R2565" s="1">
        <v>3023</v>
      </c>
      <c r="S2565" s="1">
        <f t="shared" si="1415"/>
        <v>11339273</v>
      </c>
      <c r="T2565" s="1">
        <v>0</v>
      </c>
      <c r="U2565" s="1">
        <v>0</v>
      </c>
      <c r="V2565" s="1">
        <v>0</v>
      </c>
      <c r="W2565" s="1">
        <v>0</v>
      </c>
      <c r="X2565" s="1">
        <v>0</v>
      </c>
      <c r="Y2565" s="1">
        <v>0</v>
      </c>
      <c r="Z2565" s="1">
        <v>0</v>
      </c>
      <c r="AA2565" s="1">
        <v>0</v>
      </c>
      <c r="AB2565" s="1">
        <v>0</v>
      </c>
      <c r="AC2565" s="1">
        <v>0</v>
      </c>
      <c r="AD2565" s="1">
        <v>0</v>
      </c>
    </row>
    <row r="2566" spans="1:30" s="20" customFormat="1" ht="36" customHeight="1" x14ac:dyDescent="0.25">
      <c r="A2566" s="2">
        <f t="shared" si="1419"/>
        <v>2483</v>
      </c>
      <c r="B2566" s="6">
        <f t="shared" ref="B2566" si="1433">A2566</f>
        <v>2483</v>
      </c>
      <c r="C2566" s="19" t="s">
        <v>1026</v>
      </c>
      <c r="D2566" s="4">
        <f t="shared" si="1421"/>
        <v>14157950</v>
      </c>
      <c r="E2566" s="1">
        <f t="shared" si="1431"/>
        <v>0</v>
      </c>
      <c r="F2566" s="1">
        <v>0</v>
      </c>
      <c r="G2566" s="1">
        <v>0</v>
      </c>
      <c r="H2566" s="1">
        <v>0</v>
      </c>
      <c r="I2566" s="1">
        <v>0</v>
      </c>
      <c r="J2566" s="1">
        <v>0</v>
      </c>
      <c r="K2566" s="1">
        <v>0</v>
      </c>
      <c r="L2566" s="2">
        <v>0</v>
      </c>
      <c r="M2566" s="1">
        <v>0</v>
      </c>
      <c r="N2566" s="1">
        <v>1000</v>
      </c>
      <c r="O2566" s="1">
        <f>N2566*4968</f>
        <v>4968000</v>
      </c>
      <c r="P2566" s="1">
        <v>0</v>
      </c>
      <c r="Q2566" s="1">
        <f>P2566*1400</f>
        <v>0</v>
      </c>
      <c r="R2566" s="1">
        <v>2450</v>
      </c>
      <c r="S2566" s="1">
        <f t="shared" ref="S2566" si="1434">R2566*3751</f>
        <v>9189950</v>
      </c>
      <c r="T2566" s="1">
        <v>0</v>
      </c>
      <c r="U2566" s="1">
        <v>0</v>
      </c>
      <c r="V2566" s="1">
        <v>0</v>
      </c>
      <c r="W2566" s="1">
        <v>0</v>
      </c>
      <c r="X2566" s="1">
        <v>0</v>
      </c>
      <c r="Y2566" s="1">
        <v>0</v>
      </c>
      <c r="Z2566" s="1">
        <v>0</v>
      </c>
      <c r="AA2566" s="1">
        <v>0</v>
      </c>
      <c r="AB2566" s="1">
        <v>0</v>
      </c>
      <c r="AC2566" s="1">
        <v>0</v>
      </c>
      <c r="AD2566" s="1">
        <v>0</v>
      </c>
    </row>
    <row r="2567" spans="1:30" s="20" customFormat="1" ht="36" customHeight="1" x14ac:dyDescent="0.25">
      <c r="A2567" s="2">
        <f t="shared" si="1419"/>
        <v>2484</v>
      </c>
      <c r="B2567" s="3">
        <f t="shared" si="1418"/>
        <v>2484</v>
      </c>
      <c r="C2567" s="19" t="s">
        <v>1498</v>
      </c>
      <c r="D2567" s="4">
        <f t="shared" si="1421"/>
        <v>41316829.5</v>
      </c>
      <c r="E2567" s="1">
        <f t="shared" si="1431"/>
        <v>23819647.499999996</v>
      </c>
      <c r="F2567" s="1">
        <f>804*6068.7</f>
        <v>4879234.8</v>
      </c>
      <c r="G2567" s="1">
        <f>1693*6068.7</f>
        <v>10274309.1</v>
      </c>
      <c r="H2567" s="1">
        <f>390*6068.7</f>
        <v>2366793</v>
      </c>
      <c r="I2567" s="1">
        <f>571*6068.7</f>
        <v>3465227.6999999997</v>
      </c>
      <c r="J2567" s="1">
        <f>467*6068.7</f>
        <v>2834082.9</v>
      </c>
      <c r="K2567" s="1">
        <v>0</v>
      </c>
      <c r="L2567" s="2">
        <v>0</v>
      </c>
      <c r="M2567" s="1">
        <v>0</v>
      </c>
      <c r="N2567" s="1">
        <v>1199</v>
      </c>
      <c r="O2567" s="1">
        <f t="shared" si="1430"/>
        <v>5956632</v>
      </c>
      <c r="P2567" s="1">
        <v>0</v>
      </c>
      <c r="Q2567" s="1">
        <f t="shared" si="1414"/>
        <v>0</v>
      </c>
      <c r="R2567" s="1">
        <v>3050</v>
      </c>
      <c r="S2567" s="1">
        <f t="shared" si="1415"/>
        <v>11440550</v>
      </c>
      <c r="T2567" s="1">
        <v>0</v>
      </c>
      <c r="U2567" s="1">
        <v>50000</v>
      </c>
      <c r="V2567" s="1">
        <v>0</v>
      </c>
      <c r="W2567" s="1">
        <v>50000</v>
      </c>
      <c r="X2567" s="1">
        <v>0</v>
      </c>
      <c r="Y2567" s="1">
        <v>0</v>
      </c>
      <c r="Z2567" s="1">
        <v>0</v>
      </c>
      <c r="AA2567" s="1">
        <v>0</v>
      </c>
      <c r="AB2567" s="1">
        <v>0</v>
      </c>
      <c r="AC2567" s="1">
        <v>0</v>
      </c>
      <c r="AD2567" s="1">
        <v>0</v>
      </c>
    </row>
    <row r="2568" spans="1:30" s="20" customFormat="1" ht="36" customHeight="1" x14ac:dyDescent="0.25">
      <c r="A2568" s="2">
        <f t="shared" si="1419"/>
        <v>2485</v>
      </c>
      <c r="B2568" s="3">
        <f t="shared" si="1418"/>
        <v>2485</v>
      </c>
      <c r="C2568" s="19" t="s">
        <v>1499</v>
      </c>
      <c r="D2568" s="4">
        <f t="shared" si="1421"/>
        <v>48731050.5</v>
      </c>
      <c r="E2568" s="1">
        <f t="shared" si="1431"/>
        <v>29830392.500000004</v>
      </c>
      <c r="F2568" s="1">
        <f>804*7600.1</f>
        <v>6110480.4000000004</v>
      </c>
      <c r="G2568" s="1">
        <f>1693*7600.1</f>
        <v>12866969.300000001</v>
      </c>
      <c r="H2568" s="1">
        <f>390*7600.1</f>
        <v>2964039</v>
      </c>
      <c r="I2568" s="1">
        <f>571*7600.1</f>
        <v>4339657.1000000006</v>
      </c>
      <c r="J2568" s="1">
        <f>467*7600.1</f>
        <v>3549246.7</v>
      </c>
      <c r="K2568" s="1">
        <v>0</v>
      </c>
      <c r="L2568" s="2">
        <v>0</v>
      </c>
      <c r="M2568" s="1">
        <v>0</v>
      </c>
      <c r="N2568" s="1">
        <v>1406</v>
      </c>
      <c r="O2568" s="1">
        <f t="shared" si="1430"/>
        <v>6985008</v>
      </c>
      <c r="P2568" s="1">
        <v>0</v>
      </c>
      <c r="Q2568" s="1">
        <f t="shared" si="1414"/>
        <v>0</v>
      </c>
      <c r="R2568" s="1">
        <v>3150</v>
      </c>
      <c r="S2568" s="1">
        <f t="shared" si="1415"/>
        <v>11815650</v>
      </c>
      <c r="T2568" s="1">
        <v>0</v>
      </c>
      <c r="U2568" s="1">
        <v>50000</v>
      </c>
      <c r="V2568" s="1">
        <v>0</v>
      </c>
      <c r="W2568" s="1">
        <v>50000</v>
      </c>
      <c r="X2568" s="1">
        <v>0</v>
      </c>
      <c r="Y2568" s="1">
        <v>0</v>
      </c>
      <c r="Z2568" s="1">
        <v>0</v>
      </c>
      <c r="AA2568" s="1">
        <v>0</v>
      </c>
      <c r="AB2568" s="1">
        <v>0</v>
      </c>
      <c r="AC2568" s="1">
        <v>0</v>
      </c>
      <c r="AD2568" s="1">
        <v>0</v>
      </c>
    </row>
    <row r="2569" spans="1:30" s="20" customFormat="1" ht="36" customHeight="1" x14ac:dyDescent="0.25">
      <c r="A2569" s="2">
        <f t="shared" si="1419"/>
        <v>2486</v>
      </c>
      <c r="B2569" s="3">
        <f t="shared" si="1418"/>
        <v>2486</v>
      </c>
      <c r="C2569" s="19" t="s">
        <v>1502</v>
      </c>
      <c r="D2569" s="4">
        <f t="shared" si="1421"/>
        <v>46514583</v>
      </c>
      <c r="E2569" s="1">
        <f t="shared" si="1431"/>
        <v>26722184.999999996</v>
      </c>
      <c r="F2569" s="1">
        <f>804*6808.2</f>
        <v>5473792.7999999998</v>
      </c>
      <c r="G2569" s="1">
        <f>1693*6808.2</f>
        <v>11526282.6</v>
      </c>
      <c r="H2569" s="1">
        <f>390*6808.2</f>
        <v>2655198</v>
      </c>
      <c r="I2569" s="1">
        <f>571*6808.2</f>
        <v>3887482.1999999997</v>
      </c>
      <c r="J2569" s="1">
        <f>467*6808.2</f>
        <v>3179429.4</v>
      </c>
      <c r="K2569" s="1">
        <v>0</v>
      </c>
      <c r="L2569" s="2">
        <v>0</v>
      </c>
      <c r="M2569" s="1">
        <v>0</v>
      </c>
      <c r="N2569" s="1">
        <v>1661</v>
      </c>
      <c r="O2569" s="1">
        <f t="shared" si="1430"/>
        <v>8251848</v>
      </c>
      <c r="P2569" s="1">
        <v>0</v>
      </c>
      <c r="Q2569" s="1">
        <f t="shared" si="1414"/>
        <v>0</v>
      </c>
      <c r="R2569" s="1">
        <v>3050</v>
      </c>
      <c r="S2569" s="1">
        <f t="shared" si="1415"/>
        <v>11440550</v>
      </c>
      <c r="T2569" s="1">
        <v>0</v>
      </c>
      <c r="U2569" s="1">
        <v>50000</v>
      </c>
      <c r="V2569" s="1">
        <v>0</v>
      </c>
      <c r="W2569" s="1">
        <v>50000</v>
      </c>
      <c r="X2569" s="1">
        <v>0</v>
      </c>
      <c r="Y2569" s="1">
        <v>0</v>
      </c>
      <c r="Z2569" s="1">
        <v>0</v>
      </c>
      <c r="AA2569" s="1">
        <v>0</v>
      </c>
      <c r="AB2569" s="1">
        <v>0</v>
      </c>
      <c r="AC2569" s="1">
        <v>0</v>
      </c>
      <c r="AD2569" s="1">
        <v>0</v>
      </c>
    </row>
    <row r="2570" spans="1:30" s="20" customFormat="1" ht="36" customHeight="1" x14ac:dyDescent="0.25">
      <c r="A2570" s="2">
        <f t="shared" si="1419"/>
        <v>2487</v>
      </c>
      <c r="B2570" s="3">
        <f t="shared" si="1418"/>
        <v>2487</v>
      </c>
      <c r="C2570" s="30" t="s">
        <v>1503</v>
      </c>
      <c r="D2570" s="4">
        <f t="shared" si="1421"/>
        <v>51664183</v>
      </c>
      <c r="E2570" s="1">
        <f t="shared" si="1431"/>
        <v>31871784.999999996</v>
      </c>
      <c r="F2570" s="1">
        <f>804*8120.2</f>
        <v>6528640.7999999998</v>
      </c>
      <c r="G2570" s="1">
        <f>1693*8120.2</f>
        <v>13747498.6</v>
      </c>
      <c r="H2570" s="1">
        <f>390*8120.2</f>
        <v>3166878</v>
      </c>
      <c r="I2570" s="1">
        <f>571*8120.2</f>
        <v>4636634.2</v>
      </c>
      <c r="J2570" s="1">
        <f>467*8120.2</f>
        <v>3792133.4</v>
      </c>
      <c r="K2570" s="1">
        <v>0</v>
      </c>
      <c r="L2570" s="2">
        <v>0</v>
      </c>
      <c r="M2570" s="1">
        <v>0</v>
      </c>
      <c r="N2570" s="1">
        <v>1661</v>
      </c>
      <c r="O2570" s="1">
        <f t="shared" si="1430"/>
        <v>8251848</v>
      </c>
      <c r="P2570" s="1">
        <v>0</v>
      </c>
      <c r="Q2570" s="1">
        <f t="shared" si="1414"/>
        <v>0</v>
      </c>
      <c r="R2570" s="1">
        <v>3050</v>
      </c>
      <c r="S2570" s="1">
        <f t="shared" si="1415"/>
        <v>11440550</v>
      </c>
      <c r="T2570" s="1">
        <v>0</v>
      </c>
      <c r="U2570" s="1">
        <v>50000</v>
      </c>
      <c r="V2570" s="1">
        <v>0</v>
      </c>
      <c r="W2570" s="1">
        <v>50000</v>
      </c>
      <c r="X2570" s="1">
        <v>0</v>
      </c>
      <c r="Y2570" s="1">
        <v>0</v>
      </c>
      <c r="Z2570" s="1">
        <v>0</v>
      </c>
      <c r="AA2570" s="1">
        <v>0</v>
      </c>
      <c r="AB2570" s="1">
        <v>0</v>
      </c>
      <c r="AC2570" s="1">
        <v>0</v>
      </c>
      <c r="AD2570" s="1">
        <v>0</v>
      </c>
    </row>
    <row r="2571" spans="1:30" s="20" customFormat="1" ht="36" customHeight="1" x14ac:dyDescent="0.25">
      <c r="A2571" s="2">
        <f t="shared" si="1419"/>
        <v>2488</v>
      </c>
      <c r="B2571" s="3">
        <f t="shared" si="1418"/>
        <v>2488</v>
      </c>
      <c r="C2571" s="19" t="s">
        <v>1504</v>
      </c>
      <c r="D2571" s="4">
        <f t="shared" si="1421"/>
        <v>40941306</v>
      </c>
      <c r="E2571" s="1">
        <f t="shared" si="1431"/>
        <v>26057290.000000004</v>
      </c>
      <c r="F2571" s="1">
        <f>804*6638.8</f>
        <v>5337595.2</v>
      </c>
      <c r="G2571" s="1">
        <f>1693*6638.8</f>
        <v>11239488.4</v>
      </c>
      <c r="H2571" s="1">
        <f>390*6638.8</f>
        <v>2589132</v>
      </c>
      <c r="I2571" s="1">
        <f>571*6638.8</f>
        <v>3790754.8000000003</v>
      </c>
      <c r="J2571" s="1">
        <f>467*6638.8</f>
        <v>3100319.6</v>
      </c>
      <c r="K2571" s="1">
        <v>0</v>
      </c>
      <c r="L2571" s="2">
        <v>0</v>
      </c>
      <c r="M2571" s="1">
        <v>0</v>
      </c>
      <c r="N2571" s="1">
        <v>898</v>
      </c>
      <c r="O2571" s="1">
        <f t="shared" si="1430"/>
        <v>4461264</v>
      </c>
      <c r="P2571" s="1">
        <v>0</v>
      </c>
      <c r="Q2571" s="1">
        <f t="shared" ref="Q2571:Q2615" si="1435">P2571*1400</f>
        <v>0</v>
      </c>
      <c r="R2571" s="1">
        <v>2752</v>
      </c>
      <c r="S2571" s="1">
        <f>R2571*3751</f>
        <v>10322752</v>
      </c>
      <c r="T2571" s="1">
        <v>0</v>
      </c>
      <c r="U2571" s="1">
        <v>50000</v>
      </c>
      <c r="V2571" s="1">
        <v>0</v>
      </c>
      <c r="W2571" s="1">
        <v>50000</v>
      </c>
      <c r="X2571" s="1">
        <v>0</v>
      </c>
      <c r="Y2571" s="1">
        <v>0</v>
      </c>
      <c r="Z2571" s="1">
        <v>0</v>
      </c>
      <c r="AA2571" s="1">
        <v>0</v>
      </c>
      <c r="AB2571" s="1">
        <v>0</v>
      </c>
      <c r="AC2571" s="1">
        <v>0</v>
      </c>
      <c r="AD2571" s="1">
        <v>0</v>
      </c>
    </row>
    <row r="2572" spans="1:30" s="20" customFormat="1" ht="36" customHeight="1" x14ac:dyDescent="0.25">
      <c r="A2572" s="2">
        <f t="shared" si="1419"/>
        <v>2489</v>
      </c>
      <c r="B2572" s="3">
        <f t="shared" si="1418"/>
        <v>2489</v>
      </c>
      <c r="C2572" s="19" t="s">
        <v>1505</v>
      </c>
      <c r="D2572" s="4">
        <f t="shared" si="1421"/>
        <v>43511324.5</v>
      </c>
      <c r="E2572" s="1">
        <f t="shared" si="1431"/>
        <v>24101462.5</v>
      </c>
      <c r="F2572" s="1">
        <f>804*6140.5</f>
        <v>4936962</v>
      </c>
      <c r="G2572" s="1">
        <f>1693*6140.5</f>
        <v>10395866.5</v>
      </c>
      <c r="H2572" s="1">
        <f>390*6140.5</f>
        <v>2394795</v>
      </c>
      <c r="I2572" s="1">
        <f>571*6140.5</f>
        <v>3506225.5</v>
      </c>
      <c r="J2572" s="1">
        <f>467*6140.5</f>
        <v>2867613.5</v>
      </c>
      <c r="K2572" s="1">
        <v>0</v>
      </c>
      <c r="L2572" s="2">
        <v>0</v>
      </c>
      <c r="M2572" s="1">
        <v>0</v>
      </c>
      <c r="N2572" s="1">
        <v>1584</v>
      </c>
      <c r="O2572" s="1">
        <f t="shared" si="1430"/>
        <v>7869312</v>
      </c>
      <c r="P2572" s="1">
        <v>0</v>
      </c>
      <c r="Q2572" s="1">
        <f t="shared" si="1414"/>
        <v>0</v>
      </c>
      <c r="R2572" s="1">
        <v>3050</v>
      </c>
      <c r="S2572" s="1">
        <f t="shared" si="1415"/>
        <v>11440550</v>
      </c>
      <c r="T2572" s="1">
        <v>0</v>
      </c>
      <c r="U2572" s="1">
        <v>50000</v>
      </c>
      <c r="V2572" s="1">
        <v>0</v>
      </c>
      <c r="W2572" s="1">
        <v>50000</v>
      </c>
      <c r="X2572" s="1">
        <v>0</v>
      </c>
      <c r="Y2572" s="1">
        <v>0</v>
      </c>
      <c r="Z2572" s="1">
        <v>0</v>
      </c>
      <c r="AA2572" s="1">
        <v>0</v>
      </c>
      <c r="AB2572" s="1">
        <v>0</v>
      </c>
      <c r="AC2572" s="1">
        <v>0</v>
      </c>
      <c r="AD2572" s="1">
        <v>0</v>
      </c>
    </row>
    <row r="2573" spans="1:30" s="20" customFormat="1" ht="36" customHeight="1" x14ac:dyDescent="0.25">
      <c r="A2573" s="2">
        <f t="shared" si="1419"/>
        <v>2490</v>
      </c>
      <c r="B2573" s="3">
        <f t="shared" si="1418"/>
        <v>2490</v>
      </c>
      <c r="C2573" s="19" t="s">
        <v>1506</v>
      </c>
      <c r="D2573" s="4">
        <f t="shared" si="1421"/>
        <v>40816670.5</v>
      </c>
      <c r="E2573" s="1">
        <f t="shared" si="1431"/>
        <v>22754402.500000004</v>
      </c>
      <c r="F2573" s="1">
        <f>804*5797.3</f>
        <v>4661029.2</v>
      </c>
      <c r="G2573" s="1">
        <f>1693*5797.3</f>
        <v>9814828.9000000004</v>
      </c>
      <c r="H2573" s="1">
        <f>390*5797.3</f>
        <v>2260947</v>
      </c>
      <c r="I2573" s="1">
        <f>571*5797.3</f>
        <v>3310258.3000000003</v>
      </c>
      <c r="J2573" s="1">
        <f>467*5797.3</f>
        <v>2707339.1</v>
      </c>
      <c r="K2573" s="1">
        <v>0</v>
      </c>
      <c r="L2573" s="2">
        <v>0</v>
      </c>
      <c r="M2573" s="1">
        <v>0</v>
      </c>
      <c r="N2573" s="1">
        <v>1426</v>
      </c>
      <c r="O2573" s="1">
        <f t="shared" si="1430"/>
        <v>7084368</v>
      </c>
      <c r="P2573" s="1">
        <v>0</v>
      </c>
      <c r="Q2573" s="1">
        <f t="shared" si="1414"/>
        <v>0</v>
      </c>
      <c r="R2573" s="1">
        <v>2900</v>
      </c>
      <c r="S2573" s="1">
        <f t="shared" si="1415"/>
        <v>10877900</v>
      </c>
      <c r="T2573" s="1">
        <v>0</v>
      </c>
      <c r="U2573" s="1">
        <v>50000</v>
      </c>
      <c r="V2573" s="1">
        <v>0</v>
      </c>
      <c r="W2573" s="1">
        <v>50000</v>
      </c>
      <c r="X2573" s="1">
        <v>0</v>
      </c>
      <c r="Y2573" s="1">
        <v>0</v>
      </c>
      <c r="Z2573" s="1">
        <v>0</v>
      </c>
      <c r="AA2573" s="1">
        <v>0</v>
      </c>
      <c r="AB2573" s="1">
        <v>0</v>
      </c>
      <c r="AC2573" s="1">
        <v>0</v>
      </c>
      <c r="AD2573" s="1">
        <v>0</v>
      </c>
    </row>
    <row r="2574" spans="1:30" s="20" customFormat="1" ht="36" customHeight="1" x14ac:dyDescent="0.25">
      <c r="A2574" s="2">
        <f t="shared" si="1419"/>
        <v>2491</v>
      </c>
      <c r="B2574" s="3">
        <f t="shared" si="1418"/>
        <v>2491</v>
      </c>
      <c r="C2574" s="30" t="s">
        <v>1507</v>
      </c>
      <c r="D2574" s="4">
        <f t="shared" si="1421"/>
        <v>45200272.5</v>
      </c>
      <c r="E2574" s="1">
        <f t="shared" si="1431"/>
        <v>26847392.500000004</v>
      </c>
      <c r="F2574" s="1">
        <f>804*6840.1</f>
        <v>5499440.4000000004</v>
      </c>
      <c r="G2574" s="1">
        <f>1693*6840.1</f>
        <v>11580289.300000001</v>
      </c>
      <c r="H2574" s="1">
        <f>390*6840.1</f>
        <v>2667639</v>
      </c>
      <c r="I2574" s="1">
        <f>571*6840.1</f>
        <v>3905697.1</v>
      </c>
      <c r="J2574" s="1">
        <f>467*6840.1</f>
        <v>3194326.7</v>
      </c>
      <c r="K2574" s="1">
        <v>0</v>
      </c>
      <c r="L2574" s="2">
        <v>0</v>
      </c>
      <c r="M2574" s="1">
        <v>0</v>
      </c>
      <c r="N2574" s="1">
        <v>1560</v>
      </c>
      <c r="O2574" s="1">
        <f t="shared" si="1430"/>
        <v>7750080</v>
      </c>
      <c r="P2574" s="1">
        <v>0</v>
      </c>
      <c r="Q2574" s="1">
        <f t="shared" si="1414"/>
        <v>0</v>
      </c>
      <c r="R2574" s="1">
        <v>2800</v>
      </c>
      <c r="S2574" s="1">
        <f t="shared" si="1415"/>
        <v>10502800</v>
      </c>
      <c r="T2574" s="1">
        <v>0</v>
      </c>
      <c r="U2574" s="1">
        <v>50000</v>
      </c>
      <c r="V2574" s="1">
        <v>0</v>
      </c>
      <c r="W2574" s="1">
        <v>50000</v>
      </c>
      <c r="X2574" s="1">
        <v>0</v>
      </c>
      <c r="Y2574" s="1">
        <v>0</v>
      </c>
      <c r="Z2574" s="1">
        <v>0</v>
      </c>
      <c r="AA2574" s="1">
        <v>0</v>
      </c>
      <c r="AB2574" s="1">
        <v>0</v>
      </c>
      <c r="AC2574" s="1">
        <v>0</v>
      </c>
      <c r="AD2574" s="1">
        <v>0</v>
      </c>
    </row>
    <row r="2575" spans="1:30" s="20" customFormat="1" ht="36" customHeight="1" x14ac:dyDescent="0.25">
      <c r="A2575" s="2">
        <f t="shared" si="1419"/>
        <v>2492</v>
      </c>
      <c r="B2575" s="3">
        <f t="shared" si="1418"/>
        <v>2492</v>
      </c>
      <c r="C2575" s="30" t="s">
        <v>2613</v>
      </c>
      <c r="D2575" s="4">
        <f t="shared" si="1421"/>
        <v>30763494.75</v>
      </c>
      <c r="E2575" s="1">
        <f t="shared" si="1431"/>
        <v>18700230.75</v>
      </c>
      <c r="F2575" s="1">
        <f>804*4764.39</f>
        <v>3830569.56</v>
      </c>
      <c r="G2575" s="1">
        <f>1693*4764.39</f>
        <v>8066112.2700000005</v>
      </c>
      <c r="H2575" s="1">
        <f>390*4764.39</f>
        <v>1858112.1</v>
      </c>
      <c r="I2575" s="1">
        <f>571*4764.39</f>
        <v>2720466.6900000004</v>
      </c>
      <c r="J2575" s="1">
        <f>467*4764.39</f>
        <v>2224970.1300000004</v>
      </c>
      <c r="K2575" s="1">
        <v>0</v>
      </c>
      <c r="L2575" s="2">
        <v>0</v>
      </c>
      <c r="M2575" s="1">
        <v>0</v>
      </c>
      <c r="N2575" s="1">
        <v>898</v>
      </c>
      <c r="O2575" s="1">
        <f t="shared" si="1430"/>
        <v>4461264</v>
      </c>
      <c r="P2575" s="1">
        <v>0</v>
      </c>
      <c r="Q2575" s="1">
        <f t="shared" si="1414"/>
        <v>0</v>
      </c>
      <c r="R2575" s="1">
        <v>2000</v>
      </c>
      <c r="S2575" s="1">
        <f t="shared" si="1415"/>
        <v>7502000</v>
      </c>
      <c r="T2575" s="1">
        <v>0</v>
      </c>
      <c r="U2575" s="1">
        <v>50000</v>
      </c>
      <c r="V2575" s="1">
        <v>0</v>
      </c>
      <c r="W2575" s="1">
        <v>50000</v>
      </c>
      <c r="X2575" s="1">
        <v>0</v>
      </c>
      <c r="Y2575" s="1">
        <v>0</v>
      </c>
      <c r="Z2575" s="1">
        <v>0</v>
      </c>
      <c r="AA2575" s="1">
        <v>0</v>
      </c>
      <c r="AB2575" s="1">
        <v>0</v>
      </c>
      <c r="AC2575" s="1">
        <v>0</v>
      </c>
      <c r="AD2575" s="1">
        <v>0</v>
      </c>
    </row>
    <row r="2576" spans="1:30" s="20" customFormat="1" ht="36" customHeight="1" x14ac:dyDescent="0.25">
      <c r="A2576" s="2">
        <f t="shared" si="1419"/>
        <v>2493</v>
      </c>
      <c r="B2576" s="3">
        <f t="shared" si="1418"/>
        <v>2493</v>
      </c>
      <c r="C2576" s="30" t="s">
        <v>1508</v>
      </c>
      <c r="D2576" s="4">
        <f t="shared" si="1421"/>
        <v>42340639.5</v>
      </c>
      <c r="E2576" s="1">
        <f t="shared" si="1431"/>
        <v>25623263.5</v>
      </c>
      <c r="F2576" s="1">
        <f>804*6528.22</f>
        <v>5248688.88</v>
      </c>
      <c r="G2576" s="1">
        <f>1693*6528.22</f>
        <v>11052276.460000001</v>
      </c>
      <c r="H2576" s="1">
        <f>390*6528.22</f>
        <v>2546005.8000000003</v>
      </c>
      <c r="I2576" s="1">
        <f>571*6528.22</f>
        <v>3727613.62</v>
      </c>
      <c r="J2576" s="1">
        <f>467*6528.22</f>
        <v>3048678.74</v>
      </c>
      <c r="K2576" s="1">
        <v>0</v>
      </c>
      <c r="L2576" s="2">
        <v>0</v>
      </c>
      <c r="M2576" s="1">
        <v>0</v>
      </c>
      <c r="N2576" s="1">
        <v>1412</v>
      </c>
      <c r="O2576" s="1">
        <f t="shared" si="1430"/>
        <v>7014816</v>
      </c>
      <c r="P2576" s="1">
        <v>0</v>
      </c>
      <c r="Q2576" s="1">
        <f t="shared" si="1414"/>
        <v>0</v>
      </c>
      <c r="R2576" s="1">
        <v>2560</v>
      </c>
      <c r="S2576" s="1">
        <f t="shared" si="1415"/>
        <v>9602560</v>
      </c>
      <c r="T2576" s="1">
        <v>0</v>
      </c>
      <c r="U2576" s="1">
        <v>50000</v>
      </c>
      <c r="V2576" s="1">
        <v>0</v>
      </c>
      <c r="W2576" s="1">
        <v>50000</v>
      </c>
      <c r="X2576" s="1">
        <v>0</v>
      </c>
      <c r="Y2576" s="1">
        <v>0</v>
      </c>
      <c r="Z2576" s="1">
        <v>0</v>
      </c>
      <c r="AA2576" s="1">
        <v>0</v>
      </c>
      <c r="AB2576" s="1">
        <v>0</v>
      </c>
      <c r="AC2576" s="1">
        <v>0</v>
      </c>
      <c r="AD2576" s="1">
        <v>0</v>
      </c>
    </row>
    <row r="2577" spans="1:30" s="20" customFormat="1" ht="36" customHeight="1" x14ac:dyDescent="0.25">
      <c r="A2577" s="2">
        <f t="shared" si="1419"/>
        <v>2494</v>
      </c>
      <c r="B2577" s="3">
        <f>A2577</f>
        <v>2494</v>
      </c>
      <c r="C2577" s="30" t="s">
        <v>1500</v>
      </c>
      <c r="D2577" s="4">
        <f t="shared" si="1421"/>
        <v>27925174.499999996</v>
      </c>
      <c r="E2577" s="1">
        <f>SUM(F2577:K2577)</f>
        <v>16907722.499999996</v>
      </c>
      <c r="F2577" s="1">
        <f>804*4307.7</f>
        <v>3463390.8</v>
      </c>
      <c r="G2577" s="1">
        <f>1693*4307.7</f>
        <v>7292936.0999999996</v>
      </c>
      <c r="H2577" s="1">
        <f>390*4307.7</f>
        <v>1680003</v>
      </c>
      <c r="I2577" s="1">
        <f>571*4307.7</f>
        <v>2459696.6999999997</v>
      </c>
      <c r="J2577" s="1">
        <f>467*4307.7</f>
        <v>2011695.9</v>
      </c>
      <c r="K2577" s="1">
        <v>0</v>
      </c>
      <c r="L2577" s="2">
        <v>0</v>
      </c>
      <c r="M2577" s="1">
        <v>0</v>
      </c>
      <c r="N2577" s="1">
        <v>914</v>
      </c>
      <c r="O2577" s="1">
        <f>N2577*4968</f>
        <v>4540752</v>
      </c>
      <c r="P2577" s="1">
        <v>0</v>
      </c>
      <c r="Q2577" s="1">
        <f>P2577*1400</f>
        <v>0</v>
      </c>
      <c r="R2577" s="1">
        <v>1700</v>
      </c>
      <c r="S2577" s="1">
        <f>R2577*3751</f>
        <v>6376700</v>
      </c>
      <c r="T2577" s="1">
        <v>0</v>
      </c>
      <c r="U2577" s="1">
        <v>50000</v>
      </c>
      <c r="V2577" s="1">
        <v>0</v>
      </c>
      <c r="W2577" s="1">
        <v>50000</v>
      </c>
      <c r="X2577" s="1">
        <v>0</v>
      </c>
      <c r="Y2577" s="1">
        <v>0</v>
      </c>
      <c r="Z2577" s="1">
        <v>0</v>
      </c>
      <c r="AA2577" s="1">
        <v>0</v>
      </c>
      <c r="AB2577" s="1">
        <v>0</v>
      </c>
      <c r="AC2577" s="1">
        <v>0</v>
      </c>
      <c r="AD2577" s="1">
        <v>0</v>
      </c>
    </row>
    <row r="2578" spans="1:30" s="20" customFormat="1" ht="36" customHeight="1" x14ac:dyDescent="0.25">
      <c r="A2578" s="2">
        <f t="shared" si="1419"/>
        <v>2495</v>
      </c>
      <c r="B2578" s="3">
        <f>A2578</f>
        <v>2495</v>
      </c>
      <c r="C2578" s="30" t="s">
        <v>1501</v>
      </c>
      <c r="D2578" s="4">
        <f t="shared" si="1421"/>
        <v>47996472.5</v>
      </c>
      <c r="E2578" s="1">
        <f>SUM(F2578:K2578)</f>
        <v>27414162.5</v>
      </c>
      <c r="F2578" s="1">
        <f>804*6984.5</f>
        <v>5615538</v>
      </c>
      <c r="G2578" s="1">
        <f>1693*6984.5</f>
        <v>11824758.5</v>
      </c>
      <c r="H2578" s="1">
        <f>390*6984.5</f>
        <v>2723955</v>
      </c>
      <c r="I2578" s="1">
        <f>571*6984.5</f>
        <v>3988149.5</v>
      </c>
      <c r="J2578" s="1">
        <f>467*6984.5</f>
        <v>3261761.5</v>
      </c>
      <c r="K2578" s="1">
        <v>0</v>
      </c>
      <c r="L2578" s="2">
        <v>0</v>
      </c>
      <c r="M2578" s="1">
        <v>0</v>
      </c>
      <c r="N2578" s="1">
        <v>1820</v>
      </c>
      <c r="O2578" s="1">
        <f>N2578*4968</f>
        <v>9041760</v>
      </c>
      <c r="P2578" s="1">
        <v>0</v>
      </c>
      <c r="Q2578" s="1">
        <f>P2578*1400</f>
        <v>0</v>
      </c>
      <c r="R2578" s="1">
        <v>3050</v>
      </c>
      <c r="S2578" s="1">
        <f>R2578*3751</f>
        <v>11440550</v>
      </c>
      <c r="T2578" s="1">
        <v>0</v>
      </c>
      <c r="U2578" s="1">
        <v>50000</v>
      </c>
      <c r="V2578" s="1">
        <v>0</v>
      </c>
      <c r="W2578" s="1">
        <v>50000</v>
      </c>
      <c r="X2578" s="1">
        <v>0</v>
      </c>
      <c r="Y2578" s="1">
        <v>0</v>
      </c>
      <c r="Z2578" s="1">
        <v>0</v>
      </c>
      <c r="AA2578" s="1">
        <v>0</v>
      </c>
      <c r="AB2578" s="1">
        <v>0</v>
      </c>
      <c r="AC2578" s="1">
        <v>0</v>
      </c>
      <c r="AD2578" s="1">
        <v>0</v>
      </c>
    </row>
    <row r="2579" spans="1:30" s="20" customFormat="1" ht="36" customHeight="1" x14ac:dyDescent="0.25">
      <c r="A2579" s="2">
        <f t="shared" si="1419"/>
        <v>2496</v>
      </c>
      <c r="B2579" s="6">
        <f>A2579</f>
        <v>2496</v>
      </c>
      <c r="C2579" s="19" t="s">
        <v>1952</v>
      </c>
      <c r="D2579" s="4">
        <f t="shared" si="1421"/>
        <v>14200000</v>
      </c>
      <c r="E2579" s="1">
        <f>SUM(F2579:K2579)</f>
        <v>0</v>
      </c>
      <c r="F2579" s="1">
        <v>0</v>
      </c>
      <c r="G2579" s="1">
        <v>0</v>
      </c>
      <c r="H2579" s="1">
        <v>0</v>
      </c>
      <c r="I2579" s="1">
        <v>0</v>
      </c>
      <c r="J2579" s="1">
        <v>0</v>
      </c>
      <c r="K2579" s="1">
        <v>0</v>
      </c>
      <c r="L2579" s="2">
        <v>4</v>
      </c>
      <c r="M2579" s="1">
        <f t="shared" ref="M2579" si="1436">L2579*3500000</f>
        <v>14000000</v>
      </c>
      <c r="N2579" s="1">
        <v>0</v>
      </c>
      <c r="O2579" s="1">
        <v>0</v>
      </c>
      <c r="P2579" s="1">
        <v>0</v>
      </c>
      <c r="Q2579" s="1">
        <f>P2579*1400</f>
        <v>0</v>
      </c>
      <c r="R2579" s="1">
        <v>0</v>
      </c>
      <c r="S2579" s="1">
        <f>R2579*3751</f>
        <v>0</v>
      </c>
      <c r="T2579" s="1">
        <v>0</v>
      </c>
      <c r="U2579" s="1">
        <v>200000</v>
      </c>
      <c r="V2579" s="1">
        <v>0</v>
      </c>
      <c r="W2579" s="1">
        <v>0</v>
      </c>
      <c r="X2579" s="1">
        <v>0</v>
      </c>
      <c r="Y2579" s="1">
        <v>0</v>
      </c>
      <c r="Z2579" s="1">
        <v>0</v>
      </c>
      <c r="AA2579" s="1">
        <v>0</v>
      </c>
      <c r="AB2579" s="1">
        <v>0</v>
      </c>
      <c r="AC2579" s="1">
        <v>0</v>
      </c>
      <c r="AD2579" s="1">
        <v>0</v>
      </c>
    </row>
    <row r="2580" spans="1:30" s="20" customFormat="1" ht="36" customHeight="1" x14ac:dyDescent="0.25">
      <c r="A2580" s="2">
        <f t="shared" si="1419"/>
        <v>2497</v>
      </c>
      <c r="B2580" s="3">
        <f t="shared" si="1418"/>
        <v>2497</v>
      </c>
      <c r="C2580" s="19" t="s">
        <v>1509</v>
      </c>
      <c r="D2580" s="4">
        <f t="shared" si="1421"/>
        <v>33015046.75</v>
      </c>
      <c r="E2580" s="1">
        <f t="shared" si="1431"/>
        <v>22599796.75</v>
      </c>
      <c r="F2580" s="1">
        <f>804*5757.91</f>
        <v>4629359.6399999997</v>
      </c>
      <c r="G2580" s="1">
        <f>1693*5757.91</f>
        <v>9748141.629999999</v>
      </c>
      <c r="H2580" s="1">
        <f>390*5757.91</f>
        <v>2245584.9</v>
      </c>
      <c r="I2580" s="1">
        <f>571*5757.91</f>
        <v>3287766.61</v>
      </c>
      <c r="J2580" s="1">
        <f>467*5757.91</f>
        <v>2688943.9699999997</v>
      </c>
      <c r="K2580" s="1">
        <v>0</v>
      </c>
      <c r="L2580" s="2">
        <v>0</v>
      </c>
      <c r="M2580" s="1">
        <v>0</v>
      </c>
      <c r="N2580" s="1">
        <v>0</v>
      </c>
      <c r="O2580" s="1">
        <v>0</v>
      </c>
      <c r="P2580" s="1">
        <v>0</v>
      </c>
      <c r="Q2580" s="1">
        <f t="shared" si="1435"/>
        <v>0</v>
      </c>
      <c r="R2580" s="1">
        <v>2750</v>
      </c>
      <c r="S2580" s="1">
        <f t="shared" si="1415"/>
        <v>10315250</v>
      </c>
      <c r="T2580" s="1">
        <v>0</v>
      </c>
      <c r="U2580" s="1">
        <v>50000</v>
      </c>
      <c r="V2580" s="1">
        <v>0</v>
      </c>
      <c r="W2580" s="1">
        <v>50000</v>
      </c>
      <c r="X2580" s="1">
        <v>0</v>
      </c>
      <c r="Y2580" s="1">
        <v>0</v>
      </c>
      <c r="Z2580" s="1">
        <v>0</v>
      </c>
      <c r="AA2580" s="1">
        <v>0</v>
      </c>
      <c r="AB2580" s="1">
        <v>0</v>
      </c>
      <c r="AC2580" s="1">
        <v>0</v>
      </c>
      <c r="AD2580" s="1">
        <v>0</v>
      </c>
    </row>
    <row r="2581" spans="1:30" s="20" customFormat="1" ht="36" customHeight="1" x14ac:dyDescent="0.25">
      <c r="A2581" s="2">
        <f t="shared" si="1419"/>
        <v>2498</v>
      </c>
      <c r="B2581" s="3">
        <f t="shared" si="1418"/>
        <v>2498</v>
      </c>
      <c r="C2581" s="19" t="s">
        <v>1510</v>
      </c>
      <c r="D2581" s="4">
        <f t="shared" si="1421"/>
        <v>37911901.5</v>
      </c>
      <c r="E2581" s="1">
        <f t="shared" si="1431"/>
        <v>23359637.5</v>
      </c>
      <c r="F2581" s="1">
        <f>804*5951.5</f>
        <v>4785006</v>
      </c>
      <c r="G2581" s="1">
        <f>1693*5951.5</f>
        <v>10075889.5</v>
      </c>
      <c r="H2581" s="1">
        <f>390*5951.5</f>
        <v>2321085</v>
      </c>
      <c r="I2581" s="1">
        <f>571*5951.5</f>
        <v>3398306.5</v>
      </c>
      <c r="J2581" s="1">
        <f>467*5951.5</f>
        <v>2779350.5</v>
      </c>
      <c r="K2581" s="1">
        <v>0</v>
      </c>
      <c r="L2581" s="2">
        <v>0</v>
      </c>
      <c r="M2581" s="1">
        <v>0</v>
      </c>
      <c r="N2581" s="1">
        <v>1248</v>
      </c>
      <c r="O2581" s="1">
        <f>N2581*4968</f>
        <v>6200064</v>
      </c>
      <c r="P2581" s="1">
        <v>0</v>
      </c>
      <c r="Q2581" s="1">
        <f t="shared" si="1414"/>
        <v>0</v>
      </c>
      <c r="R2581" s="1">
        <v>2200</v>
      </c>
      <c r="S2581" s="1">
        <f t="shared" si="1415"/>
        <v>8252200</v>
      </c>
      <c r="T2581" s="1">
        <v>0</v>
      </c>
      <c r="U2581" s="1">
        <v>50000</v>
      </c>
      <c r="V2581" s="1">
        <v>0</v>
      </c>
      <c r="W2581" s="1">
        <v>50000</v>
      </c>
      <c r="X2581" s="1">
        <v>0</v>
      </c>
      <c r="Y2581" s="1">
        <v>0</v>
      </c>
      <c r="Z2581" s="1">
        <v>0</v>
      </c>
      <c r="AA2581" s="1">
        <v>0</v>
      </c>
      <c r="AB2581" s="1">
        <v>0</v>
      </c>
      <c r="AC2581" s="1">
        <v>0</v>
      </c>
      <c r="AD2581" s="1">
        <v>0</v>
      </c>
    </row>
    <row r="2582" spans="1:30" s="20" customFormat="1" ht="36" customHeight="1" x14ac:dyDescent="0.25">
      <c r="A2582" s="2">
        <f t="shared" si="1419"/>
        <v>2499</v>
      </c>
      <c r="B2582" s="3">
        <f t="shared" ref="B2582" si="1437">A2582</f>
        <v>2499</v>
      </c>
      <c r="C2582" s="19" t="s">
        <v>2163</v>
      </c>
      <c r="D2582" s="4">
        <f t="shared" si="1421"/>
        <v>3018191.12</v>
      </c>
      <c r="E2582" s="1">
        <f t="shared" ref="E2582" si="1438">SUM(F2582:K2582)</f>
        <v>2968191.12</v>
      </c>
      <c r="F2582" s="1">
        <f>804*3691.78</f>
        <v>2968191.12</v>
      </c>
      <c r="G2582" s="1">
        <v>0</v>
      </c>
      <c r="H2582" s="1">
        <v>0</v>
      </c>
      <c r="I2582" s="1">
        <v>0</v>
      </c>
      <c r="J2582" s="1">
        <v>0</v>
      </c>
      <c r="K2582" s="1">
        <v>0</v>
      </c>
      <c r="L2582" s="2">
        <v>0</v>
      </c>
      <c r="M2582" s="1">
        <v>0</v>
      </c>
      <c r="N2582" s="1">
        <v>0</v>
      </c>
      <c r="O2582" s="1">
        <f>N2582*4968</f>
        <v>0</v>
      </c>
      <c r="P2582" s="1">
        <v>0</v>
      </c>
      <c r="Q2582" s="1">
        <f t="shared" ref="Q2582" si="1439">P2582*1400</f>
        <v>0</v>
      </c>
      <c r="R2582" s="1">
        <v>0</v>
      </c>
      <c r="S2582" s="1">
        <v>0</v>
      </c>
      <c r="T2582" s="1">
        <v>0</v>
      </c>
      <c r="U2582" s="1">
        <v>50000</v>
      </c>
      <c r="V2582" s="1">
        <v>0</v>
      </c>
      <c r="W2582" s="1">
        <v>0</v>
      </c>
      <c r="X2582" s="1">
        <v>0</v>
      </c>
      <c r="Y2582" s="1">
        <v>0</v>
      </c>
      <c r="Z2582" s="1">
        <v>0</v>
      </c>
      <c r="AA2582" s="1">
        <v>0</v>
      </c>
      <c r="AB2582" s="1">
        <v>0</v>
      </c>
      <c r="AC2582" s="1">
        <v>0</v>
      </c>
      <c r="AD2582" s="1">
        <v>0</v>
      </c>
    </row>
    <row r="2583" spans="1:30" s="20" customFormat="1" ht="36" customHeight="1" x14ac:dyDescent="0.25">
      <c r="A2583" s="2">
        <f t="shared" ref="A2583:A2615" si="1440">ROW()-ROW($A$11)-72</f>
        <v>2500</v>
      </c>
      <c r="B2583" s="6">
        <f>A2583</f>
        <v>2500</v>
      </c>
      <c r="C2583" s="19" t="s">
        <v>1038</v>
      </c>
      <c r="D2583" s="4">
        <f t="shared" si="1421"/>
        <v>19590816.98</v>
      </c>
      <c r="E2583" s="1">
        <f>SUM(F2583:K2583)</f>
        <v>8785366.9800000004</v>
      </c>
      <c r="F2583" s="1">
        <f>804*2619.37</f>
        <v>2105973.48</v>
      </c>
      <c r="G2583" s="1">
        <f>1693*2619.37</f>
        <v>4434593.41</v>
      </c>
      <c r="H2583" s="1">
        <f>390*2619.37</f>
        <v>1021554.2999999999</v>
      </c>
      <c r="I2583" s="1">
        <v>0</v>
      </c>
      <c r="J2583" s="1">
        <f>467*2619.37</f>
        <v>1223245.79</v>
      </c>
      <c r="K2583" s="1">
        <v>0</v>
      </c>
      <c r="L2583" s="2">
        <v>0</v>
      </c>
      <c r="M2583" s="1">
        <v>0</v>
      </c>
      <c r="N2583" s="1">
        <v>686</v>
      </c>
      <c r="O2583" s="1">
        <f>N2583*7750</f>
        <v>5316500</v>
      </c>
      <c r="P2583" s="1">
        <v>0</v>
      </c>
      <c r="Q2583" s="1">
        <f>P2583*1400</f>
        <v>0</v>
      </c>
      <c r="R2583" s="1">
        <v>1450</v>
      </c>
      <c r="S2583" s="1">
        <f>R2583*3751</f>
        <v>5438950</v>
      </c>
      <c r="T2583" s="1">
        <v>0</v>
      </c>
      <c r="U2583" s="1">
        <v>50000</v>
      </c>
      <c r="V2583" s="1">
        <v>0</v>
      </c>
      <c r="W2583" s="1">
        <v>0</v>
      </c>
      <c r="X2583" s="1">
        <v>0</v>
      </c>
      <c r="Y2583" s="1">
        <v>0</v>
      </c>
      <c r="Z2583" s="1">
        <v>0</v>
      </c>
      <c r="AA2583" s="1">
        <v>0</v>
      </c>
      <c r="AB2583" s="1">
        <v>0</v>
      </c>
      <c r="AC2583" s="1">
        <v>0</v>
      </c>
      <c r="AD2583" s="1">
        <v>0</v>
      </c>
    </row>
    <row r="2584" spans="1:30" s="20" customFormat="1" ht="36" customHeight="1" x14ac:dyDescent="0.25">
      <c r="A2584" s="2">
        <f t="shared" si="1440"/>
        <v>2501</v>
      </c>
      <c r="B2584" s="3">
        <f t="shared" si="1418"/>
        <v>2501</v>
      </c>
      <c r="C2584" s="19" t="s">
        <v>1511</v>
      </c>
      <c r="D2584" s="4">
        <f t="shared" si="1421"/>
        <v>23575104.5</v>
      </c>
      <c r="E2584" s="1">
        <f t="shared" si="1431"/>
        <v>14490236.499999998</v>
      </c>
      <c r="F2584" s="1">
        <f>804*3691.78</f>
        <v>2968191.12</v>
      </c>
      <c r="G2584" s="1">
        <f>1693*3691.78</f>
        <v>6250183.54</v>
      </c>
      <c r="H2584" s="1">
        <f>390*3691.78</f>
        <v>1439794.2000000002</v>
      </c>
      <c r="I2584" s="1">
        <f>571*3691.78</f>
        <v>2108006.38</v>
      </c>
      <c r="J2584" s="1">
        <f>467*3691.78</f>
        <v>1724061.26</v>
      </c>
      <c r="K2584" s="1">
        <v>0</v>
      </c>
      <c r="L2584" s="2">
        <v>0</v>
      </c>
      <c r="M2584" s="1">
        <v>0</v>
      </c>
      <c r="N2584" s="1">
        <v>676</v>
      </c>
      <c r="O2584" s="1">
        <f>N2584*4968</f>
        <v>3358368</v>
      </c>
      <c r="P2584" s="1">
        <v>0</v>
      </c>
      <c r="Q2584" s="1">
        <f t="shared" si="1414"/>
        <v>0</v>
      </c>
      <c r="R2584" s="1">
        <v>1500</v>
      </c>
      <c r="S2584" s="1">
        <f t="shared" si="1415"/>
        <v>5626500</v>
      </c>
      <c r="T2584" s="1">
        <v>0</v>
      </c>
      <c r="U2584" s="1">
        <v>50000</v>
      </c>
      <c r="V2584" s="1">
        <v>0</v>
      </c>
      <c r="W2584" s="1">
        <v>50000</v>
      </c>
      <c r="X2584" s="1">
        <v>0</v>
      </c>
      <c r="Y2584" s="1">
        <v>0</v>
      </c>
      <c r="Z2584" s="1">
        <v>0</v>
      </c>
      <c r="AA2584" s="1">
        <v>0</v>
      </c>
      <c r="AB2584" s="1">
        <v>0</v>
      </c>
      <c r="AC2584" s="1">
        <v>0</v>
      </c>
      <c r="AD2584" s="1">
        <v>0</v>
      </c>
    </row>
    <row r="2585" spans="1:30" s="20" customFormat="1" ht="36" customHeight="1" x14ac:dyDescent="0.25">
      <c r="A2585" s="2">
        <f t="shared" si="1440"/>
        <v>2502</v>
      </c>
      <c r="B2585" s="3">
        <f t="shared" si="1418"/>
        <v>2502</v>
      </c>
      <c r="C2585" s="19" t="s">
        <v>2614</v>
      </c>
      <c r="D2585" s="4">
        <f t="shared" si="1421"/>
        <v>29012484.999999996</v>
      </c>
      <c r="E2585" s="1">
        <f t="shared" si="1431"/>
        <v>20285184.999999996</v>
      </c>
      <c r="F2585" s="1">
        <f>804*5168.2</f>
        <v>4155232.8</v>
      </c>
      <c r="G2585" s="1">
        <f>1693*5168.2</f>
        <v>8749762.5999999996</v>
      </c>
      <c r="H2585" s="1">
        <f>390*5168.2</f>
        <v>2015598</v>
      </c>
      <c r="I2585" s="1">
        <f>571*5168.2</f>
        <v>2951042.1999999997</v>
      </c>
      <c r="J2585" s="1">
        <f>467*5168.2</f>
        <v>2413549.4</v>
      </c>
      <c r="K2585" s="1">
        <v>0</v>
      </c>
      <c r="L2585" s="2">
        <v>0</v>
      </c>
      <c r="M2585" s="1">
        <v>0</v>
      </c>
      <c r="N2585" s="1">
        <v>0</v>
      </c>
      <c r="O2585" s="1">
        <v>0</v>
      </c>
      <c r="P2585" s="1">
        <v>0</v>
      </c>
      <c r="Q2585" s="1">
        <f t="shared" si="1435"/>
        <v>0</v>
      </c>
      <c r="R2585" s="1">
        <v>2300</v>
      </c>
      <c r="S2585" s="1">
        <f t="shared" si="1415"/>
        <v>8627300</v>
      </c>
      <c r="T2585" s="1">
        <v>0</v>
      </c>
      <c r="U2585" s="1">
        <v>50000</v>
      </c>
      <c r="V2585" s="1">
        <v>0</v>
      </c>
      <c r="W2585" s="1">
        <v>50000</v>
      </c>
      <c r="X2585" s="1">
        <v>0</v>
      </c>
      <c r="Y2585" s="1">
        <v>0</v>
      </c>
      <c r="Z2585" s="1">
        <v>0</v>
      </c>
      <c r="AA2585" s="1">
        <v>0</v>
      </c>
      <c r="AB2585" s="1">
        <v>0</v>
      </c>
      <c r="AC2585" s="1">
        <v>0</v>
      </c>
      <c r="AD2585" s="1">
        <v>0</v>
      </c>
    </row>
    <row r="2586" spans="1:30" s="20" customFormat="1" ht="36" customHeight="1" x14ac:dyDescent="0.25">
      <c r="A2586" s="2">
        <f t="shared" si="1440"/>
        <v>2503</v>
      </c>
      <c r="B2586" s="6">
        <f>A2586</f>
        <v>2503</v>
      </c>
      <c r="C2586" s="19" t="s">
        <v>1040</v>
      </c>
      <c r="D2586" s="4">
        <f t="shared" ref="D2586:D2615" si="1441">E2586+M2586+O2586+Q2586+S2586+T2586+U2586+V2586+W2586+X2586+Z2586+AA2586+AB2586+AC2586+AD2586</f>
        <v>9309746.8000000007</v>
      </c>
      <c r="E2586" s="1">
        <f>SUM(F2586:K2586)</f>
        <v>3082996.8000000003</v>
      </c>
      <c r="F2586" s="1">
        <f>804*919.2</f>
        <v>739036.8</v>
      </c>
      <c r="G2586" s="1">
        <f>1693*919.2</f>
        <v>1556205.6</v>
      </c>
      <c r="H2586" s="1">
        <f>390*919.2</f>
        <v>358488</v>
      </c>
      <c r="I2586" s="1">
        <v>0</v>
      </c>
      <c r="J2586" s="1">
        <f>467*919.2</f>
        <v>429266.4</v>
      </c>
      <c r="K2586" s="1">
        <v>0</v>
      </c>
      <c r="L2586" s="2">
        <v>0</v>
      </c>
      <c r="M2586" s="1">
        <v>0</v>
      </c>
      <c r="N2586" s="1">
        <v>555</v>
      </c>
      <c r="O2586" s="1">
        <f>N2586*7750</f>
        <v>4301250</v>
      </c>
      <c r="P2586" s="1">
        <v>0</v>
      </c>
      <c r="Q2586" s="1">
        <f>P2586*1400</f>
        <v>0</v>
      </c>
      <c r="R2586" s="1">
        <v>500</v>
      </c>
      <c r="S2586" s="1">
        <f>R2586*3751</f>
        <v>1875500</v>
      </c>
      <c r="T2586" s="1">
        <v>0</v>
      </c>
      <c r="U2586" s="1">
        <v>50000</v>
      </c>
      <c r="V2586" s="1">
        <v>0</v>
      </c>
      <c r="W2586" s="1">
        <v>0</v>
      </c>
      <c r="X2586" s="1">
        <v>0</v>
      </c>
      <c r="Y2586" s="1">
        <v>0</v>
      </c>
      <c r="Z2586" s="1">
        <v>0</v>
      </c>
      <c r="AA2586" s="1">
        <v>0</v>
      </c>
      <c r="AB2586" s="1">
        <v>0</v>
      </c>
      <c r="AC2586" s="1">
        <v>0</v>
      </c>
      <c r="AD2586" s="1">
        <v>0</v>
      </c>
    </row>
    <row r="2587" spans="1:30" s="20" customFormat="1" ht="36" customHeight="1" x14ac:dyDescent="0.25">
      <c r="A2587" s="2">
        <f t="shared" si="1440"/>
        <v>2504</v>
      </c>
      <c r="B2587" s="3">
        <f t="shared" si="1418"/>
        <v>2504</v>
      </c>
      <c r="C2587" s="19" t="s">
        <v>1512</v>
      </c>
      <c r="D2587" s="4">
        <f t="shared" si="1441"/>
        <v>10157890</v>
      </c>
      <c r="E2587" s="1">
        <f t="shared" si="1431"/>
        <v>5047550</v>
      </c>
      <c r="F2587" s="1">
        <f>804*1286</f>
        <v>1033944</v>
      </c>
      <c r="G2587" s="1">
        <f>1693*1286</f>
        <v>2177198</v>
      </c>
      <c r="H2587" s="1">
        <f>390*1286</f>
        <v>501540</v>
      </c>
      <c r="I2587" s="1">
        <f>571*1286</f>
        <v>734306</v>
      </c>
      <c r="J2587" s="1">
        <f>467*1286</f>
        <v>600562</v>
      </c>
      <c r="K2587" s="1">
        <v>0</v>
      </c>
      <c r="L2587" s="2">
        <v>0</v>
      </c>
      <c r="M2587" s="1">
        <v>0</v>
      </c>
      <c r="N2587" s="1">
        <v>480</v>
      </c>
      <c r="O2587" s="1">
        <f>N2587*4968</f>
        <v>2384640</v>
      </c>
      <c r="P2587" s="1">
        <v>0</v>
      </c>
      <c r="Q2587" s="1">
        <f t="shared" si="1414"/>
        <v>0</v>
      </c>
      <c r="R2587" s="1">
        <v>700</v>
      </c>
      <c r="S2587" s="1">
        <f t="shared" si="1415"/>
        <v>2625700</v>
      </c>
      <c r="T2587" s="1">
        <v>0</v>
      </c>
      <c r="U2587" s="1">
        <v>50000</v>
      </c>
      <c r="V2587" s="1">
        <v>0</v>
      </c>
      <c r="W2587" s="1">
        <v>50000</v>
      </c>
      <c r="X2587" s="1">
        <v>0</v>
      </c>
      <c r="Y2587" s="1">
        <v>0</v>
      </c>
      <c r="Z2587" s="1">
        <v>0</v>
      </c>
      <c r="AA2587" s="1">
        <v>0</v>
      </c>
      <c r="AB2587" s="1">
        <v>0</v>
      </c>
      <c r="AC2587" s="1">
        <v>0</v>
      </c>
      <c r="AD2587" s="1">
        <v>0</v>
      </c>
    </row>
    <row r="2588" spans="1:30" s="20" customFormat="1" ht="36" customHeight="1" x14ac:dyDescent="0.25">
      <c r="A2588" s="2">
        <f t="shared" si="1440"/>
        <v>2505</v>
      </c>
      <c r="B2588" s="3">
        <f t="shared" si="1418"/>
        <v>2505</v>
      </c>
      <c r="C2588" s="30" t="s">
        <v>1513</v>
      </c>
      <c r="D2588" s="4">
        <f t="shared" si="1441"/>
        <v>22494894.25</v>
      </c>
      <c r="E2588" s="1">
        <f t="shared" si="1431"/>
        <v>12443702.25</v>
      </c>
      <c r="F2588" s="1">
        <f>804*3170.37</f>
        <v>2548977.48</v>
      </c>
      <c r="G2588" s="1">
        <f>1693*3170.37</f>
        <v>5367436.41</v>
      </c>
      <c r="H2588" s="1">
        <f>390*3170.37</f>
        <v>1236444.3</v>
      </c>
      <c r="I2588" s="1">
        <f>571*3170.37</f>
        <v>1810281.27</v>
      </c>
      <c r="J2588" s="1">
        <f>467*3170.37</f>
        <v>1480562.79</v>
      </c>
      <c r="K2588" s="1">
        <v>0</v>
      </c>
      <c r="L2588" s="2">
        <v>0</v>
      </c>
      <c r="M2588" s="1">
        <v>0</v>
      </c>
      <c r="N2588" s="1">
        <v>644</v>
      </c>
      <c r="O2588" s="1">
        <f>N2588*4968</f>
        <v>3199392</v>
      </c>
      <c r="P2588" s="1">
        <v>0</v>
      </c>
      <c r="Q2588" s="1">
        <f t="shared" si="1414"/>
        <v>0</v>
      </c>
      <c r="R2588" s="1">
        <v>1800</v>
      </c>
      <c r="S2588" s="1">
        <f t="shared" si="1415"/>
        <v>6751800</v>
      </c>
      <c r="T2588" s="1">
        <v>0</v>
      </c>
      <c r="U2588" s="1">
        <v>50000</v>
      </c>
      <c r="V2588" s="1">
        <v>0</v>
      </c>
      <c r="W2588" s="1">
        <v>50000</v>
      </c>
      <c r="X2588" s="1">
        <v>0</v>
      </c>
      <c r="Y2588" s="1">
        <v>0</v>
      </c>
      <c r="Z2588" s="1">
        <v>0</v>
      </c>
      <c r="AA2588" s="1">
        <v>0</v>
      </c>
      <c r="AB2588" s="1">
        <v>0</v>
      </c>
      <c r="AC2588" s="1">
        <v>0</v>
      </c>
      <c r="AD2588" s="1">
        <v>0</v>
      </c>
    </row>
    <row r="2589" spans="1:30" s="20" customFormat="1" ht="36" customHeight="1" x14ac:dyDescent="0.25">
      <c r="A2589" s="2">
        <f t="shared" si="1440"/>
        <v>2506</v>
      </c>
      <c r="B2589" s="3">
        <f>A2589</f>
        <v>2506</v>
      </c>
      <c r="C2589" s="30" t="s">
        <v>1515</v>
      </c>
      <c r="D2589" s="4">
        <f t="shared" si="1441"/>
        <v>48972316</v>
      </c>
      <c r="E2589" s="1">
        <f>SUM(F2589:K2589)</f>
        <v>33305666.000000004</v>
      </c>
      <c r="F2589" s="1">
        <f>804*8485.52</f>
        <v>6822358.0800000001</v>
      </c>
      <c r="G2589" s="1">
        <f>1693*8485.52</f>
        <v>14365985.360000001</v>
      </c>
      <c r="H2589" s="1">
        <f>390*8485.52</f>
        <v>3309352.8000000003</v>
      </c>
      <c r="I2589" s="1">
        <f>571*8485.52</f>
        <v>4845231.92</v>
      </c>
      <c r="J2589" s="1">
        <f>467*8485.52</f>
        <v>3962737.8400000003</v>
      </c>
      <c r="K2589" s="1">
        <v>0</v>
      </c>
      <c r="L2589" s="2">
        <v>0</v>
      </c>
      <c r="M2589" s="1">
        <v>0</v>
      </c>
      <c r="N2589" s="1">
        <v>0</v>
      </c>
      <c r="O2589" s="1">
        <v>0</v>
      </c>
      <c r="P2589" s="1">
        <v>0</v>
      </c>
      <c r="Q2589" s="1">
        <f>P2589*1400</f>
        <v>0</v>
      </c>
      <c r="R2589" s="1">
        <v>4150</v>
      </c>
      <c r="S2589" s="1">
        <f>R2589*3751</f>
        <v>15566650</v>
      </c>
      <c r="T2589" s="1">
        <v>0</v>
      </c>
      <c r="U2589" s="1">
        <v>50000</v>
      </c>
      <c r="V2589" s="1">
        <v>0</v>
      </c>
      <c r="W2589" s="1">
        <v>50000</v>
      </c>
      <c r="X2589" s="1">
        <v>0</v>
      </c>
      <c r="Y2589" s="1">
        <v>0</v>
      </c>
      <c r="Z2589" s="1">
        <v>0</v>
      </c>
      <c r="AA2589" s="1">
        <v>0</v>
      </c>
      <c r="AB2589" s="1">
        <v>0</v>
      </c>
      <c r="AC2589" s="1">
        <v>0</v>
      </c>
      <c r="AD2589" s="1">
        <v>0</v>
      </c>
    </row>
    <row r="2590" spans="1:30" s="20" customFormat="1" ht="36" customHeight="1" x14ac:dyDescent="0.25">
      <c r="A2590" s="2">
        <f t="shared" si="1440"/>
        <v>2507</v>
      </c>
      <c r="B2590" s="3">
        <f t="shared" si="1418"/>
        <v>2507</v>
      </c>
      <c r="C2590" s="30" t="s">
        <v>1514</v>
      </c>
      <c r="D2590" s="4">
        <f t="shared" si="1441"/>
        <v>17528602.75</v>
      </c>
      <c r="E2590" s="1">
        <f t="shared" si="1431"/>
        <v>9280858.75</v>
      </c>
      <c r="F2590" s="1">
        <f>804*2364.55</f>
        <v>1901098.2000000002</v>
      </c>
      <c r="G2590" s="1">
        <f>1693*2364.55</f>
        <v>4003183.1500000004</v>
      </c>
      <c r="H2590" s="1">
        <f>390*2364.55</f>
        <v>922174.50000000012</v>
      </c>
      <c r="I2590" s="1">
        <f>571*2364.55</f>
        <v>1350158.05</v>
      </c>
      <c r="J2590" s="1">
        <f>467*2364.55</f>
        <v>1104244.8500000001</v>
      </c>
      <c r="K2590" s="1">
        <v>0</v>
      </c>
      <c r="L2590" s="2">
        <v>0</v>
      </c>
      <c r="M2590" s="1">
        <v>0</v>
      </c>
      <c r="N2590" s="1">
        <v>583</v>
      </c>
      <c r="O2590" s="1">
        <f>N2590*4968</f>
        <v>2896344</v>
      </c>
      <c r="P2590" s="1">
        <v>0</v>
      </c>
      <c r="Q2590" s="1">
        <f t="shared" si="1414"/>
        <v>0</v>
      </c>
      <c r="R2590" s="1">
        <v>1400</v>
      </c>
      <c r="S2590" s="1">
        <f t="shared" si="1415"/>
        <v>5251400</v>
      </c>
      <c r="T2590" s="1">
        <v>0</v>
      </c>
      <c r="U2590" s="1">
        <v>50000</v>
      </c>
      <c r="V2590" s="1">
        <v>0</v>
      </c>
      <c r="W2590" s="1">
        <v>50000</v>
      </c>
      <c r="X2590" s="1">
        <v>0</v>
      </c>
      <c r="Y2590" s="1">
        <v>0</v>
      </c>
      <c r="Z2590" s="1">
        <v>0</v>
      </c>
      <c r="AA2590" s="1">
        <v>0</v>
      </c>
      <c r="AB2590" s="1">
        <v>0</v>
      </c>
      <c r="AC2590" s="1">
        <v>0</v>
      </c>
      <c r="AD2590" s="1">
        <v>0</v>
      </c>
    </row>
    <row r="2591" spans="1:30" s="20" customFormat="1" ht="36" customHeight="1" x14ac:dyDescent="0.25">
      <c r="A2591" s="2">
        <f t="shared" si="1440"/>
        <v>2508</v>
      </c>
      <c r="B2591" s="6">
        <f>A2591</f>
        <v>2508</v>
      </c>
      <c r="C2591" s="19" t="s">
        <v>1046</v>
      </c>
      <c r="D2591" s="4">
        <f t="shared" si="1441"/>
        <v>1856745</v>
      </c>
      <c r="E2591" s="1">
        <f>SUM(F2591:K2591)</f>
        <v>0</v>
      </c>
      <c r="F2591" s="1">
        <v>0</v>
      </c>
      <c r="G2591" s="1">
        <v>0</v>
      </c>
      <c r="H2591" s="1">
        <v>0</v>
      </c>
      <c r="I2591" s="1">
        <v>0</v>
      </c>
      <c r="J2591" s="1">
        <v>0</v>
      </c>
      <c r="K2591" s="1">
        <v>0</v>
      </c>
      <c r="L2591" s="2">
        <v>0</v>
      </c>
      <c r="M2591" s="1">
        <v>0</v>
      </c>
      <c r="N2591" s="1">
        <v>0</v>
      </c>
      <c r="O2591" s="1">
        <v>0</v>
      </c>
      <c r="P2591" s="1">
        <v>0</v>
      </c>
      <c r="Q2591" s="1">
        <f>P2591*1400</f>
        <v>0</v>
      </c>
      <c r="R2591" s="1">
        <v>495</v>
      </c>
      <c r="S2591" s="1">
        <f>R2591*3751</f>
        <v>1856745</v>
      </c>
      <c r="T2591" s="1">
        <v>0</v>
      </c>
      <c r="U2591" s="1">
        <v>0</v>
      </c>
      <c r="V2591" s="1">
        <v>0</v>
      </c>
      <c r="W2591" s="1">
        <v>0</v>
      </c>
      <c r="X2591" s="1">
        <v>0</v>
      </c>
      <c r="Y2591" s="1">
        <v>0</v>
      </c>
      <c r="Z2591" s="1">
        <v>0</v>
      </c>
      <c r="AA2591" s="1">
        <v>0</v>
      </c>
      <c r="AB2591" s="1">
        <v>0</v>
      </c>
      <c r="AC2591" s="1">
        <v>0</v>
      </c>
      <c r="AD2591" s="1">
        <v>0</v>
      </c>
    </row>
    <row r="2592" spans="1:30" s="20" customFormat="1" ht="36" customHeight="1" x14ac:dyDescent="0.25">
      <c r="A2592" s="2">
        <f t="shared" si="1440"/>
        <v>2509</v>
      </c>
      <c r="B2592" s="3">
        <f t="shared" ref="B2592" si="1442">A2592</f>
        <v>2509</v>
      </c>
      <c r="C2592" s="30" t="s">
        <v>1798</v>
      </c>
      <c r="D2592" s="4">
        <f t="shared" si="1441"/>
        <v>28050000</v>
      </c>
      <c r="E2592" s="1">
        <f t="shared" ref="E2592" si="1443">SUM(F2592:K2592)</f>
        <v>0</v>
      </c>
      <c r="F2592" s="1">
        <v>0</v>
      </c>
      <c r="G2592" s="1">
        <v>0</v>
      </c>
      <c r="H2592" s="1">
        <v>0</v>
      </c>
      <c r="I2592" s="1">
        <v>0</v>
      </c>
      <c r="J2592" s="1">
        <v>0</v>
      </c>
      <c r="K2592" s="1">
        <v>0</v>
      </c>
      <c r="L2592" s="2">
        <v>8</v>
      </c>
      <c r="M2592" s="1">
        <f>L2592*3500000</f>
        <v>28000000</v>
      </c>
      <c r="N2592" s="1">
        <v>0</v>
      </c>
      <c r="O2592" s="1">
        <v>0</v>
      </c>
      <c r="P2592" s="1">
        <v>0</v>
      </c>
      <c r="Q2592" s="1">
        <f t="shared" ref="Q2592" si="1444">P2592*1400</f>
        <v>0</v>
      </c>
      <c r="R2592" s="1">
        <v>0</v>
      </c>
      <c r="S2592" s="1">
        <f t="shared" ref="S2592" si="1445">R2592*3751</f>
        <v>0</v>
      </c>
      <c r="T2592" s="1">
        <v>0</v>
      </c>
      <c r="U2592" s="1">
        <v>50000</v>
      </c>
      <c r="V2592" s="1">
        <v>0</v>
      </c>
      <c r="W2592" s="1">
        <v>0</v>
      </c>
      <c r="X2592" s="1">
        <v>0</v>
      </c>
      <c r="Y2592" s="1">
        <v>0</v>
      </c>
      <c r="Z2592" s="1">
        <v>0</v>
      </c>
      <c r="AA2592" s="1">
        <v>0</v>
      </c>
      <c r="AB2592" s="1">
        <v>0</v>
      </c>
      <c r="AC2592" s="1">
        <v>0</v>
      </c>
      <c r="AD2592" s="1">
        <v>0</v>
      </c>
    </row>
    <row r="2593" spans="1:30" s="20" customFormat="1" ht="36" customHeight="1" x14ac:dyDescent="0.25">
      <c r="A2593" s="2">
        <f t="shared" si="1440"/>
        <v>2510</v>
      </c>
      <c r="B2593" s="3">
        <f t="shared" si="1418"/>
        <v>2510</v>
      </c>
      <c r="C2593" s="19" t="s">
        <v>1516</v>
      </c>
      <c r="D2593" s="4">
        <f t="shared" si="1441"/>
        <v>23461792.5</v>
      </c>
      <c r="E2593" s="1">
        <f t="shared" si="1431"/>
        <v>14575644.499999998</v>
      </c>
      <c r="F2593" s="1">
        <f>804*3713.54</f>
        <v>2985686.16</v>
      </c>
      <c r="G2593" s="1">
        <f>1693*3713.54</f>
        <v>6287023.2199999997</v>
      </c>
      <c r="H2593" s="1">
        <f>390*3713.54</f>
        <v>1448280.6</v>
      </c>
      <c r="I2593" s="1">
        <f>571*3713.54</f>
        <v>2120431.34</v>
      </c>
      <c r="J2593" s="1">
        <f>467*3713.54</f>
        <v>1734223.18</v>
      </c>
      <c r="K2593" s="1">
        <v>0</v>
      </c>
      <c r="L2593" s="2">
        <v>0</v>
      </c>
      <c r="M2593" s="1">
        <v>0</v>
      </c>
      <c r="N2593" s="1">
        <v>636</v>
      </c>
      <c r="O2593" s="1">
        <f>N2593*4968</f>
        <v>3159648</v>
      </c>
      <c r="P2593" s="1">
        <v>0</v>
      </c>
      <c r="Q2593" s="1">
        <f t="shared" si="1414"/>
        <v>0</v>
      </c>
      <c r="R2593" s="1">
        <v>1500</v>
      </c>
      <c r="S2593" s="1">
        <f t="shared" si="1415"/>
        <v>5626500</v>
      </c>
      <c r="T2593" s="1">
        <v>0</v>
      </c>
      <c r="U2593" s="1">
        <v>50000</v>
      </c>
      <c r="V2593" s="1">
        <v>0</v>
      </c>
      <c r="W2593" s="1">
        <v>50000</v>
      </c>
      <c r="X2593" s="1">
        <v>0</v>
      </c>
      <c r="Y2593" s="1">
        <v>0</v>
      </c>
      <c r="Z2593" s="1">
        <v>0</v>
      </c>
      <c r="AA2593" s="1">
        <v>0</v>
      </c>
      <c r="AB2593" s="1">
        <v>0</v>
      </c>
      <c r="AC2593" s="1">
        <v>0</v>
      </c>
      <c r="AD2593" s="1">
        <v>0</v>
      </c>
    </row>
    <row r="2594" spans="1:30" s="20" customFormat="1" ht="36" customHeight="1" x14ac:dyDescent="0.25">
      <c r="A2594" s="2">
        <f t="shared" si="1440"/>
        <v>2511</v>
      </c>
      <c r="B2594" s="3">
        <f t="shared" si="1418"/>
        <v>2511</v>
      </c>
      <c r="C2594" s="19" t="s">
        <v>1517</v>
      </c>
      <c r="D2594" s="4">
        <f t="shared" si="1441"/>
        <v>44098585</v>
      </c>
      <c r="E2594" s="1">
        <f t="shared" si="1431"/>
        <v>25186725</v>
      </c>
      <c r="F2594" s="1">
        <f>804*6417</f>
        <v>5159268</v>
      </c>
      <c r="G2594" s="1">
        <f>1693*6417</f>
        <v>10863981</v>
      </c>
      <c r="H2594" s="1">
        <f>390*6417</f>
        <v>2502630</v>
      </c>
      <c r="I2594" s="1">
        <f>571*6417</f>
        <v>3664107</v>
      </c>
      <c r="J2594" s="1">
        <f>467*6417</f>
        <v>2996739</v>
      </c>
      <c r="K2594" s="1">
        <v>0</v>
      </c>
      <c r="L2594" s="2">
        <v>0</v>
      </c>
      <c r="M2594" s="1">
        <v>0</v>
      </c>
      <c r="N2594" s="1">
        <v>1295</v>
      </c>
      <c r="O2594" s="1">
        <f>N2594*4968</f>
        <v>6433560</v>
      </c>
      <c r="P2594" s="1">
        <v>0</v>
      </c>
      <c r="Q2594" s="1">
        <f t="shared" si="1414"/>
        <v>0</v>
      </c>
      <c r="R2594" s="1">
        <v>3300</v>
      </c>
      <c r="S2594" s="1">
        <f t="shared" si="1415"/>
        <v>12378300</v>
      </c>
      <c r="T2594" s="1">
        <v>0</v>
      </c>
      <c r="U2594" s="1">
        <v>50000</v>
      </c>
      <c r="V2594" s="1">
        <v>0</v>
      </c>
      <c r="W2594" s="1">
        <v>50000</v>
      </c>
      <c r="X2594" s="1">
        <v>0</v>
      </c>
      <c r="Y2594" s="1">
        <v>0</v>
      </c>
      <c r="Z2594" s="1">
        <v>0</v>
      </c>
      <c r="AA2594" s="1">
        <v>0</v>
      </c>
      <c r="AB2594" s="1">
        <v>0</v>
      </c>
      <c r="AC2594" s="1">
        <v>0</v>
      </c>
      <c r="AD2594" s="1">
        <v>0</v>
      </c>
    </row>
    <row r="2595" spans="1:30" s="20" customFormat="1" ht="36" customHeight="1" x14ac:dyDescent="0.25">
      <c r="A2595" s="2">
        <f t="shared" si="1440"/>
        <v>2512</v>
      </c>
      <c r="B2595" s="6">
        <f>A2595</f>
        <v>2512</v>
      </c>
      <c r="C2595" s="19" t="s">
        <v>1050</v>
      </c>
      <c r="D2595" s="4">
        <f t="shared" si="1441"/>
        <v>29646805</v>
      </c>
      <c r="E2595" s="1">
        <f>SUM(F2595:K2595)</f>
        <v>14140204.999999998</v>
      </c>
      <c r="F2595" s="1">
        <f>804*3602.6</f>
        <v>2896490.4</v>
      </c>
      <c r="G2595" s="1">
        <f>1693*3602.6</f>
        <v>6099201.7999999998</v>
      </c>
      <c r="H2595" s="1">
        <f>390*3602.6</f>
        <v>1405014</v>
      </c>
      <c r="I2595" s="1">
        <f>571*3602.6</f>
        <v>2057084.5999999999</v>
      </c>
      <c r="J2595" s="1">
        <f>467*3602.6</f>
        <v>1682414.2</v>
      </c>
      <c r="K2595" s="1">
        <v>0</v>
      </c>
      <c r="L2595" s="2">
        <v>0</v>
      </c>
      <c r="M2595" s="1">
        <v>0</v>
      </c>
      <c r="N2595" s="1">
        <v>1220</v>
      </c>
      <c r="O2595" s="1">
        <f>N2595*7750</f>
        <v>9455000</v>
      </c>
      <c r="P2595" s="1">
        <v>0</v>
      </c>
      <c r="Q2595" s="1">
        <f>P2595*1400</f>
        <v>0</v>
      </c>
      <c r="R2595" s="1">
        <v>1600</v>
      </c>
      <c r="S2595" s="1">
        <f>R2595*3751</f>
        <v>6001600</v>
      </c>
      <c r="T2595" s="1">
        <v>0</v>
      </c>
      <c r="U2595" s="1">
        <v>50000</v>
      </c>
      <c r="V2595" s="1">
        <v>0</v>
      </c>
      <c r="W2595" s="1">
        <v>0</v>
      </c>
      <c r="X2595" s="1">
        <v>0</v>
      </c>
      <c r="Y2595" s="1">
        <v>0</v>
      </c>
      <c r="Z2595" s="1">
        <v>0</v>
      </c>
      <c r="AA2595" s="1">
        <v>0</v>
      </c>
      <c r="AB2595" s="1">
        <v>0</v>
      </c>
      <c r="AC2595" s="1">
        <v>0</v>
      </c>
      <c r="AD2595" s="1">
        <v>0</v>
      </c>
    </row>
    <row r="2596" spans="1:30" s="20" customFormat="1" ht="36" customHeight="1" x14ac:dyDescent="0.25">
      <c r="A2596" s="2">
        <f t="shared" si="1440"/>
        <v>2513</v>
      </c>
      <c r="B2596" s="3">
        <f t="shared" si="1418"/>
        <v>2513</v>
      </c>
      <c r="C2596" s="19" t="s">
        <v>1518</v>
      </c>
      <c r="D2596" s="4">
        <f t="shared" si="1441"/>
        <v>29896344</v>
      </c>
      <c r="E2596" s="1">
        <f t="shared" si="1431"/>
        <v>16916436</v>
      </c>
      <c r="F2596" s="1">
        <f>804*4309.92</f>
        <v>3465175.68</v>
      </c>
      <c r="G2596" s="1">
        <f>1693*4309.92</f>
        <v>7296694.5600000005</v>
      </c>
      <c r="H2596" s="1">
        <f>390*4309.92</f>
        <v>1680868.8</v>
      </c>
      <c r="I2596" s="1">
        <f>571*4309.92</f>
        <v>2460964.3199999998</v>
      </c>
      <c r="J2596" s="1">
        <f>467*4309.92</f>
        <v>2012732.6400000001</v>
      </c>
      <c r="K2596" s="1">
        <v>0</v>
      </c>
      <c r="L2596" s="2">
        <v>0</v>
      </c>
      <c r="M2596" s="1">
        <v>0</v>
      </c>
      <c r="N2596" s="1">
        <v>856</v>
      </c>
      <c r="O2596" s="1">
        <f>N2596*4968</f>
        <v>4252608</v>
      </c>
      <c r="P2596" s="1">
        <v>0</v>
      </c>
      <c r="Q2596" s="1">
        <f t="shared" si="1414"/>
        <v>0</v>
      </c>
      <c r="R2596" s="1">
        <v>2300</v>
      </c>
      <c r="S2596" s="1">
        <f t="shared" si="1415"/>
        <v>8627300</v>
      </c>
      <c r="T2596" s="1">
        <v>0</v>
      </c>
      <c r="U2596" s="1">
        <v>50000</v>
      </c>
      <c r="V2596" s="1">
        <v>0</v>
      </c>
      <c r="W2596" s="1">
        <v>50000</v>
      </c>
      <c r="X2596" s="1">
        <v>0</v>
      </c>
      <c r="Y2596" s="1">
        <v>0</v>
      </c>
      <c r="Z2596" s="1">
        <v>0</v>
      </c>
      <c r="AA2596" s="1">
        <v>0</v>
      </c>
      <c r="AB2596" s="1">
        <v>0</v>
      </c>
      <c r="AC2596" s="1">
        <v>0</v>
      </c>
      <c r="AD2596" s="1">
        <v>0</v>
      </c>
    </row>
    <row r="2597" spans="1:30" s="20" customFormat="1" ht="36" customHeight="1" x14ac:dyDescent="0.25">
      <c r="A2597" s="2">
        <f t="shared" si="1440"/>
        <v>2514</v>
      </c>
      <c r="B2597" s="3">
        <f t="shared" si="1418"/>
        <v>2514</v>
      </c>
      <c r="C2597" s="19" t="s">
        <v>1519</v>
      </c>
      <c r="D2597" s="4">
        <f t="shared" si="1441"/>
        <v>19100173.25</v>
      </c>
      <c r="E2597" s="1">
        <f t="shared" si="1431"/>
        <v>11711925.249999998</v>
      </c>
      <c r="F2597" s="1">
        <f>804*2983.93</f>
        <v>2399079.7199999997</v>
      </c>
      <c r="G2597" s="1">
        <f>1693*2983.93</f>
        <v>5051793.4899999993</v>
      </c>
      <c r="H2597" s="1">
        <f>390*2983.93</f>
        <v>1163732.7</v>
      </c>
      <c r="I2597" s="1">
        <f>571*2983.93</f>
        <v>1703824.0299999998</v>
      </c>
      <c r="J2597" s="1">
        <f>467*2983.93</f>
        <v>1393495.3099999998</v>
      </c>
      <c r="K2597" s="1">
        <v>0</v>
      </c>
      <c r="L2597" s="2">
        <v>0</v>
      </c>
      <c r="M2597" s="1">
        <v>0</v>
      </c>
      <c r="N2597" s="1">
        <v>561</v>
      </c>
      <c r="O2597" s="1">
        <f>N2597*4968</f>
        <v>2787048</v>
      </c>
      <c r="P2597" s="1">
        <v>0</v>
      </c>
      <c r="Q2597" s="1">
        <f>P2597*1400</f>
        <v>0</v>
      </c>
      <c r="R2597" s="1">
        <v>1200</v>
      </c>
      <c r="S2597" s="1">
        <f t="shared" ref="S2597:S2615" si="1446">R2597*3751</f>
        <v>4501200</v>
      </c>
      <c r="T2597" s="1">
        <v>0</v>
      </c>
      <c r="U2597" s="1">
        <v>50000</v>
      </c>
      <c r="V2597" s="1">
        <v>0</v>
      </c>
      <c r="W2597" s="1">
        <v>50000</v>
      </c>
      <c r="X2597" s="1">
        <v>0</v>
      </c>
      <c r="Y2597" s="1">
        <v>0</v>
      </c>
      <c r="Z2597" s="1">
        <v>0</v>
      </c>
      <c r="AA2597" s="1">
        <v>0</v>
      </c>
      <c r="AB2597" s="1">
        <v>0</v>
      </c>
      <c r="AC2597" s="1">
        <v>0</v>
      </c>
      <c r="AD2597" s="1">
        <v>0</v>
      </c>
    </row>
    <row r="2598" spans="1:30" s="20" customFormat="1" ht="36" customHeight="1" x14ac:dyDescent="0.25">
      <c r="A2598" s="2">
        <f t="shared" si="1440"/>
        <v>2515</v>
      </c>
      <c r="B2598" s="3">
        <f t="shared" si="1418"/>
        <v>2515</v>
      </c>
      <c r="C2598" s="30" t="s">
        <v>1520</v>
      </c>
      <c r="D2598" s="4">
        <f t="shared" si="1441"/>
        <v>34909607.5</v>
      </c>
      <c r="E2598" s="1">
        <f t="shared" si="1431"/>
        <v>23369057.499999996</v>
      </c>
      <c r="F2598" s="1">
        <f>804*5953.9</f>
        <v>4786935.5999999996</v>
      </c>
      <c r="G2598" s="1">
        <f>1693*5953.9</f>
        <v>10079952.699999999</v>
      </c>
      <c r="H2598" s="1">
        <f>390*5953.9</f>
        <v>2322021</v>
      </c>
      <c r="I2598" s="1">
        <f>571*5953.9</f>
        <v>3399676.9</v>
      </c>
      <c r="J2598" s="1">
        <f>467*5953.9</f>
        <v>2780471.3</v>
      </c>
      <c r="K2598" s="1">
        <v>0</v>
      </c>
      <c r="L2598" s="2">
        <v>0</v>
      </c>
      <c r="M2598" s="1">
        <f>L2598*3500000</f>
        <v>0</v>
      </c>
      <c r="N2598" s="1">
        <v>0</v>
      </c>
      <c r="O2598" s="1">
        <v>0</v>
      </c>
      <c r="P2598" s="1">
        <v>0</v>
      </c>
      <c r="Q2598" s="1">
        <f t="shared" si="1435"/>
        <v>0</v>
      </c>
      <c r="R2598" s="1">
        <v>3050</v>
      </c>
      <c r="S2598" s="1">
        <f t="shared" si="1446"/>
        <v>11440550</v>
      </c>
      <c r="T2598" s="1">
        <v>0</v>
      </c>
      <c r="U2598" s="1">
        <v>50000</v>
      </c>
      <c r="V2598" s="1">
        <v>0</v>
      </c>
      <c r="W2598" s="1">
        <v>50000</v>
      </c>
      <c r="X2598" s="1">
        <v>0</v>
      </c>
      <c r="Y2598" s="1">
        <v>0</v>
      </c>
      <c r="Z2598" s="1">
        <v>0</v>
      </c>
      <c r="AA2598" s="1">
        <v>0</v>
      </c>
      <c r="AB2598" s="1">
        <v>0</v>
      </c>
      <c r="AC2598" s="1">
        <v>0</v>
      </c>
      <c r="AD2598" s="1">
        <v>0</v>
      </c>
    </row>
    <row r="2599" spans="1:30" s="20" customFormat="1" ht="36" customHeight="1" x14ac:dyDescent="0.25">
      <c r="A2599" s="2">
        <f t="shared" si="1440"/>
        <v>2516</v>
      </c>
      <c r="B2599" s="2">
        <f t="shared" si="1418"/>
        <v>2516</v>
      </c>
      <c r="C2599" s="19" t="s">
        <v>1521</v>
      </c>
      <c r="D2599" s="39">
        <f t="shared" si="1441"/>
        <v>47147797</v>
      </c>
      <c r="E2599" s="1">
        <f t="shared" si="1431"/>
        <v>31411147.000000004</v>
      </c>
      <c r="F2599" s="1">
        <f>804*8002.84</f>
        <v>6434283.3600000003</v>
      </c>
      <c r="G2599" s="1">
        <f>1693*8002.84</f>
        <v>13548808.120000001</v>
      </c>
      <c r="H2599" s="1">
        <f>390*8002.84</f>
        <v>3121107.6</v>
      </c>
      <c r="I2599" s="1">
        <f>571*8002.84</f>
        <v>4569621.6399999997</v>
      </c>
      <c r="J2599" s="1">
        <f>467*8002.84</f>
        <v>3737326.2800000003</v>
      </c>
      <c r="K2599" s="1">
        <v>0</v>
      </c>
      <c r="L2599" s="2">
        <v>0</v>
      </c>
      <c r="M2599" s="1">
        <v>0</v>
      </c>
      <c r="N2599" s="1">
        <v>0</v>
      </c>
      <c r="O2599" s="1">
        <v>0</v>
      </c>
      <c r="P2599" s="1">
        <v>50</v>
      </c>
      <c r="Q2599" s="1">
        <f t="shared" si="1435"/>
        <v>70000</v>
      </c>
      <c r="R2599" s="1">
        <v>4150</v>
      </c>
      <c r="S2599" s="1">
        <f t="shared" ref="S2599:S2604" si="1447">R2599*3751</f>
        <v>15566650</v>
      </c>
      <c r="T2599" s="1">
        <v>0</v>
      </c>
      <c r="U2599" s="1">
        <v>50000</v>
      </c>
      <c r="V2599" s="1">
        <v>0</v>
      </c>
      <c r="W2599" s="1">
        <v>50000</v>
      </c>
      <c r="X2599" s="1">
        <v>0</v>
      </c>
      <c r="Y2599" s="1">
        <v>0</v>
      </c>
      <c r="Z2599" s="1">
        <v>0</v>
      </c>
      <c r="AA2599" s="1">
        <v>0</v>
      </c>
      <c r="AB2599" s="1">
        <v>0</v>
      </c>
      <c r="AC2599" s="1">
        <v>0</v>
      </c>
      <c r="AD2599" s="1">
        <v>0</v>
      </c>
    </row>
    <row r="2600" spans="1:30" s="20" customFormat="1" ht="36" customHeight="1" x14ac:dyDescent="0.25">
      <c r="A2600" s="2">
        <f t="shared" si="1440"/>
        <v>2517</v>
      </c>
      <c r="B2600" s="2">
        <f t="shared" si="1418"/>
        <v>2517</v>
      </c>
      <c r="C2600" s="19" t="s">
        <v>545</v>
      </c>
      <c r="D2600" s="39">
        <f t="shared" si="1441"/>
        <v>484147.63</v>
      </c>
      <c r="E2600" s="1">
        <f t="shared" si="1431"/>
        <v>434147.63</v>
      </c>
      <c r="F2600" s="1">
        <v>0</v>
      </c>
      <c r="G2600" s="1">
        <v>0</v>
      </c>
      <c r="H2600" s="1">
        <f>390*506.59</f>
        <v>197570.09999999998</v>
      </c>
      <c r="I2600" s="1">
        <v>0</v>
      </c>
      <c r="J2600" s="1">
        <f>467*506.59</f>
        <v>236577.53</v>
      </c>
      <c r="K2600" s="1">
        <v>0</v>
      </c>
      <c r="L2600" s="2">
        <v>0</v>
      </c>
      <c r="M2600" s="1">
        <f>L2600*3500000</f>
        <v>0</v>
      </c>
      <c r="N2600" s="1">
        <v>0</v>
      </c>
      <c r="O2600" s="1">
        <v>0</v>
      </c>
      <c r="P2600" s="1">
        <v>0</v>
      </c>
      <c r="Q2600" s="1">
        <f t="shared" si="1435"/>
        <v>0</v>
      </c>
      <c r="R2600" s="1">
        <v>0</v>
      </c>
      <c r="S2600" s="1">
        <f t="shared" si="1447"/>
        <v>0</v>
      </c>
      <c r="T2600" s="1">
        <v>0</v>
      </c>
      <c r="U2600" s="1">
        <v>50000</v>
      </c>
      <c r="V2600" s="1">
        <v>0</v>
      </c>
      <c r="W2600" s="1">
        <v>0</v>
      </c>
      <c r="X2600" s="1">
        <v>0</v>
      </c>
      <c r="Y2600" s="1">
        <v>0</v>
      </c>
      <c r="Z2600" s="1">
        <v>0</v>
      </c>
      <c r="AA2600" s="1">
        <v>0</v>
      </c>
      <c r="AB2600" s="1">
        <v>0</v>
      </c>
      <c r="AC2600" s="1">
        <v>0</v>
      </c>
      <c r="AD2600" s="1">
        <v>0</v>
      </c>
    </row>
    <row r="2601" spans="1:30" s="20" customFormat="1" ht="36" customHeight="1" x14ac:dyDescent="0.25">
      <c r="A2601" s="2">
        <f t="shared" si="1440"/>
        <v>2518</v>
      </c>
      <c r="B2601" s="6">
        <f t="shared" si="1418"/>
        <v>2518</v>
      </c>
      <c r="C2601" s="19" t="s">
        <v>547</v>
      </c>
      <c r="D2601" s="4">
        <f t="shared" si="1441"/>
        <v>486898.6</v>
      </c>
      <c r="E2601" s="1">
        <f t="shared" si="1431"/>
        <v>436898.6</v>
      </c>
      <c r="F2601" s="1">
        <v>0</v>
      </c>
      <c r="G2601" s="1">
        <v>0</v>
      </c>
      <c r="H2601" s="1">
        <f>390*509.8</f>
        <v>198822</v>
      </c>
      <c r="I2601" s="1">
        <v>0</v>
      </c>
      <c r="J2601" s="1">
        <f>467*509.8</f>
        <v>238076.6</v>
      </c>
      <c r="K2601" s="1">
        <v>0</v>
      </c>
      <c r="L2601" s="2">
        <v>0</v>
      </c>
      <c r="M2601" s="1">
        <f>L2601*3500000</f>
        <v>0</v>
      </c>
      <c r="N2601" s="1">
        <v>0</v>
      </c>
      <c r="O2601" s="1">
        <v>0</v>
      </c>
      <c r="P2601" s="1">
        <v>0</v>
      </c>
      <c r="Q2601" s="1">
        <f t="shared" si="1435"/>
        <v>0</v>
      </c>
      <c r="R2601" s="1">
        <v>0</v>
      </c>
      <c r="S2601" s="1">
        <f t="shared" si="1447"/>
        <v>0</v>
      </c>
      <c r="T2601" s="1">
        <v>0</v>
      </c>
      <c r="U2601" s="1">
        <v>50000</v>
      </c>
      <c r="V2601" s="1">
        <v>0</v>
      </c>
      <c r="W2601" s="1">
        <v>0</v>
      </c>
      <c r="X2601" s="1">
        <v>0</v>
      </c>
      <c r="Y2601" s="1">
        <v>0</v>
      </c>
      <c r="Z2601" s="1">
        <v>0</v>
      </c>
      <c r="AA2601" s="1">
        <v>0</v>
      </c>
      <c r="AB2601" s="1">
        <v>0</v>
      </c>
      <c r="AC2601" s="1">
        <v>0</v>
      </c>
      <c r="AD2601" s="1">
        <v>0</v>
      </c>
    </row>
    <row r="2602" spans="1:30" s="20" customFormat="1" ht="36" customHeight="1" x14ac:dyDescent="0.25">
      <c r="A2602" s="2">
        <f t="shared" si="1440"/>
        <v>2519</v>
      </c>
      <c r="B2602" s="6">
        <f>A2602</f>
        <v>2519</v>
      </c>
      <c r="C2602" s="19" t="s">
        <v>1056</v>
      </c>
      <c r="D2602" s="4">
        <f t="shared" si="1441"/>
        <v>1478709.15</v>
      </c>
      <c r="E2602" s="1">
        <f>SUM(F2602:K2602)</f>
        <v>1428709.15</v>
      </c>
      <c r="F2602" s="1">
        <f>804*860.15</f>
        <v>691560.6</v>
      </c>
      <c r="G2602" s="1">
        <v>0</v>
      </c>
      <c r="H2602" s="1">
        <f>390*860.15</f>
        <v>335458.5</v>
      </c>
      <c r="I2602" s="1">
        <v>0</v>
      </c>
      <c r="J2602" s="1">
        <f>467*860.15</f>
        <v>401690.05</v>
      </c>
      <c r="K2602" s="1">
        <v>0</v>
      </c>
      <c r="L2602" s="2">
        <v>0</v>
      </c>
      <c r="M2602" s="1">
        <v>0</v>
      </c>
      <c r="N2602" s="1">
        <v>0</v>
      </c>
      <c r="O2602" s="1">
        <v>0</v>
      </c>
      <c r="P2602" s="1">
        <v>0</v>
      </c>
      <c r="Q2602" s="1">
        <f>P2602*1400</f>
        <v>0</v>
      </c>
      <c r="R2602" s="1">
        <v>0</v>
      </c>
      <c r="S2602" s="1">
        <f t="shared" si="1447"/>
        <v>0</v>
      </c>
      <c r="T2602" s="1">
        <v>0</v>
      </c>
      <c r="U2602" s="1">
        <v>50000</v>
      </c>
      <c r="V2602" s="1">
        <v>0</v>
      </c>
      <c r="W2602" s="1">
        <v>0</v>
      </c>
      <c r="X2602" s="1">
        <v>0</v>
      </c>
      <c r="Y2602" s="1">
        <v>0</v>
      </c>
      <c r="Z2602" s="1">
        <v>0</v>
      </c>
      <c r="AA2602" s="1">
        <v>0</v>
      </c>
      <c r="AB2602" s="1">
        <v>0</v>
      </c>
      <c r="AC2602" s="1">
        <v>0</v>
      </c>
      <c r="AD2602" s="1">
        <v>0</v>
      </c>
    </row>
    <row r="2603" spans="1:30" s="20" customFormat="1" ht="36" customHeight="1" x14ac:dyDescent="0.25">
      <c r="A2603" s="2">
        <f t="shared" si="1440"/>
        <v>2520</v>
      </c>
      <c r="B2603" s="6">
        <f>A2603</f>
        <v>2520</v>
      </c>
      <c r="C2603" s="19" t="s">
        <v>1057</v>
      </c>
      <c r="D2603" s="4">
        <f t="shared" si="1441"/>
        <v>1480469.81</v>
      </c>
      <c r="E2603" s="1">
        <f>SUM(F2603:K2603)</f>
        <v>1430469.81</v>
      </c>
      <c r="F2603" s="1">
        <f>804*861.21</f>
        <v>692412.84000000008</v>
      </c>
      <c r="G2603" s="1">
        <v>0</v>
      </c>
      <c r="H2603" s="1">
        <f>390*861.21</f>
        <v>335871.9</v>
      </c>
      <c r="I2603" s="1">
        <v>0</v>
      </c>
      <c r="J2603" s="1">
        <f>467*861.21</f>
        <v>402185.07</v>
      </c>
      <c r="K2603" s="1">
        <v>0</v>
      </c>
      <c r="L2603" s="2">
        <v>0</v>
      </c>
      <c r="M2603" s="1">
        <v>0</v>
      </c>
      <c r="N2603" s="1">
        <v>0</v>
      </c>
      <c r="O2603" s="1">
        <v>0</v>
      </c>
      <c r="P2603" s="1">
        <v>0</v>
      </c>
      <c r="Q2603" s="1">
        <f>P2603*1400</f>
        <v>0</v>
      </c>
      <c r="R2603" s="1">
        <v>0</v>
      </c>
      <c r="S2603" s="1">
        <f t="shared" si="1447"/>
        <v>0</v>
      </c>
      <c r="T2603" s="1">
        <v>0</v>
      </c>
      <c r="U2603" s="1">
        <v>50000</v>
      </c>
      <c r="V2603" s="1">
        <v>0</v>
      </c>
      <c r="W2603" s="1">
        <v>0</v>
      </c>
      <c r="X2603" s="1">
        <v>0</v>
      </c>
      <c r="Y2603" s="1">
        <v>0</v>
      </c>
      <c r="Z2603" s="1">
        <v>0</v>
      </c>
      <c r="AA2603" s="1">
        <v>0</v>
      </c>
      <c r="AB2603" s="1">
        <v>0</v>
      </c>
      <c r="AC2603" s="1">
        <v>0</v>
      </c>
      <c r="AD2603" s="1">
        <v>0</v>
      </c>
    </row>
    <row r="2604" spans="1:30" s="20" customFormat="1" ht="36" customHeight="1" x14ac:dyDescent="0.25">
      <c r="A2604" s="2">
        <f t="shared" si="1440"/>
        <v>2521</v>
      </c>
      <c r="B2604" s="6">
        <f>A2604</f>
        <v>2521</v>
      </c>
      <c r="C2604" s="19" t="s">
        <v>1058</v>
      </c>
      <c r="D2604" s="4">
        <f t="shared" si="1441"/>
        <v>1523539.54</v>
      </c>
      <c r="E2604" s="1">
        <f>SUM(F2604:K2604)</f>
        <v>1473539.54</v>
      </c>
      <c r="F2604" s="1">
        <f>804*887.14</f>
        <v>713260.55999999994</v>
      </c>
      <c r="G2604" s="1">
        <v>0</v>
      </c>
      <c r="H2604" s="1">
        <f>390*887.14</f>
        <v>345984.6</v>
      </c>
      <c r="I2604" s="1">
        <v>0</v>
      </c>
      <c r="J2604" s="1">
        <f>467*887.14</f>
        <v>414294.38</v>
      </c>
      <c r="K2604" s="1">
        <v>0</v>
      </c>
      <c r="L2604" s="2">
        <v>0</v>
      </c>
      <c r="M2604" s="1">
        <v>0</v>
      </c>
      <c r="N2604" s="1">
        <v>0</v>
      </c>
      <c r="O2604" s="1">
        <v>0</v>
      </c>
      <c r="P2604" s="1">
        <v>0</v>
      </c>
      <c r="Q2604" s="1">
        <f>P2604*1400</f>
        <v>0</v>
      </c>
      <c r="R2604" s="1">
        <v>0</v>
      </c>
      <c r="S2604" s="1">
        <f t="shared" si="1447"/>
        <v>0</v>
      </c>
      <c r="T2604" s="1">
        <v>0</v>
      </c>
      <c r="U2604" s="1">
        <v>50000</v>
      </c>
      <c r="V2604" s="1">
        <v>0</v>
      </c>
      <c r="W2604" s="1">
        <v>0</v>
      </c>
      <c r="X2604" s="1">
        <v>0</v>
      </c>
      <c r="Y2604" s="1">
        <v>0</v>
      </c>
      <c r="Z2604" s="1">
        <v>0</v>
      </c>
      <c r="AA2604" s="1">
        <v>0</v>
      </c>
      <c r="AB2604" s="1">
        <v>0</v>
      </c>
      <c r="AC2604" s="1">
        <v>0</v>
      </c>
      <c r="AD2604" s="1">
        <v>0</v>
      </c>
    </row>
    <row r="2605" spans="1:30" s="20" customFormat="1" ht="36" customHeight="1" x14ac:dyDescent="0.25">
      <c r="A2605" s="2">
        <f t="shared" si="1440"/>
        <v>2522</v>
      </c>
      <c r="B2605" s="3">
        <f t="shared" si="1418"/>
        <v>2522</v>
      </c>
      <c r="C2605" s="19" t="s">
        <v>1522</v>
      </c>
      <c r="D2605" s="4">
        <f t="shared" si="1441"/>
        <v>35035277.5</v>
      </c>
      <c r="E2605" s="1">
        <f t="shared" si="1431"/>
        <v>16077977.500000002</v>
      </c>
      <c r="F2605" s="1">
        <f>804*4096.3</f>
        <v>3293425.2</v>
      </c>
      <c r="G2605" s="1">
        <f>1693*4096.3</f>
        <v>6935035.9000000004</v>
      </c>
      <c r="H2605" s="1">
        <f>390*4096.3</f>
        <v>1597557</v>
      </c>
      <c r="I2605" s="1">
        <f>571*4096.3</f>
        <v>2338987.3000000003</v>
      </c>
      <c r="J2605" s="1">
        <f>467*4096.3</f>
        <v>1912972.1</v>
      </c>
      <c r="K2605" s="1">
        <v>0</v>
      </c>
      <c r="L2605" s="2">
        <v>0</v>
      </c>
      <c r="M2605" s="1">
        <v>0</v>
      </c>
      <c r="N2605" s="1">
        <v>1320</v>
      </c>
      <c r="O2605" s="1">
        <f>N2605*7750</f>
        <v>10230000</v>
      </c>
      <c r="P2605" s="1">
        <v>0</v>
      </c>
      <c r="Q2605" s="1">
        <f t="shared" si="1435"/>
        <v>0</v>
      </c>
      <c r="R2605" s="1">
        <v>2300</v>
      </c>
      <c r="S2605" s="1">
        <f t="shared" si="1446"/>
        <v>8627300</v>
      </c>
      <c r="T2605" s="1">
        <v>0</v>
      </c>
      <c r="U2605" s="1">
        <v>50000</v>
      </c>
      <c r="V2605" s="1">
        <v>0</v>
      </c>
      <c r="W2605" s="1">
        <v>50000</v>
      </c>
      <c r="X2605" s="1">
        <v>0</v>
      </c>
      <c r="Y2605" s="1">
        <v>0</v>
      </c>
      <c r="Z2605" s="1">
        <v>0</v>
      </c>
      <c r="AA2605" s="1">
        <v>0</v>
      </c>
      <c r="AB2605" s="1">
        <v>0</v>
      </c>
      <c r="AC2605" s="1">
        <v>0</v>
      </c>
      <c r="AD2605" s="1">
        <v>0</v>
      </c>
    </row>
    <row r="2606" spans="1:30" s="20" customFormat="1" ht="36" customHeight="1" x14ac:dyDescent="0.25">
      <c r="A2606" s="2">
        <f t="shared" si="1440"/>
        <v>2523</v>
      </c>
      <c r="B2606" s="3">
        <f t="shared" si="1418"/>
        <v>2523</v>
      </c>
      <c r="C2606" s="19" t="s">
        <v>1523</v>
      </c>
      <c r="D2606" s="4">
        <f t="shared" si="1441"/>
        <v>29194085.25</v>
      </c>
      <c r="E2606" s="1">
        <f t="shared" si="1431"/>
        <v>17341945.25</v>
      </c>
      <c r="F2606" s="1">
        <f>804*4418.33</f>
        <v>3552337.32</v>
      </c>
      <c r="G2606" s="1">
        <f>1693*4418.33</f>
        <v>7480232.6899999995</v>
      </c>
      <c r="H2606" s="1">
        <f>390*4418.33</f>
        <v>1723148.7</v>
      </c>
      <c r="I2606" s="1">
        <f>571*4418.33</f>
        <v>2522866.4300000002</v>
      </c>
      <c r="J2606" s="1">
        <f>467*4418.33</f>
        <v>2063360.1099999999</v>
      </c>
      <c r="K2606" s="1">
        <v>0</v>
      </c>
      <c r="L2606" s="2">
        <v>0</v>
      </c>
      <c r="M2606" s="1">
        <v>0</v>
      </c>
      <c r="N2606" s="1">
        <v>780</v>
      </c>
      <c r="O2606" s="1">
        <f>N2606*4968</f>
        <v>3875040</v>
      </c>
      <c r="P2606" s="1">
        <v>0</v>
      </c>
      <c r="Q2606" s="1">
        <f t="shared" si="1435"/>
        <v>0</v>
      </c>
      <c r="R2606" s="1">
        <v>2100</v>
      </c>
      <c r="S2606" s="1">
        <f t="shared" si="1446"/>
        <v>7877100</v>
      </c>
      <c r="T2606" s="1">
        <v>0</v>
      </c>
      <c r="U2606" s="1">
        <v>50000</v>
      </c>
      <c r="V2606" s="1">
        <v>0</v>
      </c>
      <c r="W2606" s="1">
        <v>50000</v>
      </c>
      <c r="X2606" s="1">
        <v>0</v>
      </c>
      <c r="Y2606" s="1">
        <v>0</v>
      </c>
      <c r="Z2606" s="1">
        <v>0</v>
      </c>
      <c r="AA2606" s="1">
        <v>0</v>
      </c>
      <c r="AB2606" s="1">
        <v>0</v>
      </c>
      <c r="AC2606" s="1">
        <v>0</v>
      </c>
      <c r="AD2606" s="1">
        <v>0</v>
      </c>
    </row>
    <row r="2607" spans="1:30" s="20" customFormat="1" ht="36" customHeight="1" x14ac:dyDescent="0.25">
      <c r="A2607" s="2">
        <f t="shared" si="1440"/>
        <v>2524</v>
      </c>
      <c r="B2607" s="3">
        <f t="shared" si="1418"/>
        <v>2524</v>
      </c>
      <c r="C2607" s="19" t="s">
        <v>1524</v>
      </c>
      <c r="D2607" s="4">
        <f t="shared" si="1441"/>
        <v>18120212.5</v>
      </c>
      <c r="E2607" s="1">
        <f t="shared" si="1431"/>
        <v>11643512.5</v>
      </c>
      <c r="F2607" s="1">
        <f>804*2966.5</f>
        <v>2385066</v>
      </c>
      <c r="G2607" s="1">
        <f>1693*2966.5</f>
        <v>5022284.5</v>
      </c>
      <c r="H2607" s="1">
        <f>390*2966.5</f>
        <v>1156935</v>
      </c>
      <c r="I2607" s="1">
        <f>571*2966.5</f>
        <v>1693871.5</v>
      </c>
      <c r="J2607" s="1">
        <f>467*2966.5</f>
        <v>1385355.5</v>
      </c>
      <c r="K2607" s="1">
        <v>0</v>
      </c>
      <c r="L2607" s="2">
        <v>0</v>
      </c>
      <c r="M2607" s="1">
        <v>0</v>
      </c>
      <c r="N2607" s="1">
        <v>0</v>
      </c>
      <c r="O2607" s="1">
        <v>0</v>
      </c>
      <c r="P2607" s="1">
        <v>0</v>
      </c>
      <c r="Q2607" s="1">
        <f t="shared" si="1435"/>
        <v>0</v>
      </c>
      <c r="R2607" s="1">
        <v>1700</v>
      </c>
      <c r="S2607" s="1">
        <f t="shared" si="1446"/>
        <v>6376700</v>
      </c>
      <c r="T2607" s="1">
        <v>0</v>
      </c>
      <c r="U2607" s="1">
        <v>50000</v>
      </c>
      <c r="V2607" s="1">
        <v>0</v>
      </c>
      <c r="W2607" s="1">
        <v>50000</v>
      </c>
      <c r="X2607" s="1">
        <v>0</v>
      </c>
      <c r="Y2607" s="1">
        <v>0</v>
      </c>
      <c r="Z2607" s="1">
        <v>0</v>
      </c>
      <c r="AA2607" s="1">
        <v>0</v>
      </c>
      <c r="AB2607" s="1">
        <v>0</v>
      </c>
      <c r="AC2607" s="1">
        <v>0</v>
      </c>
      <c r="AD2607" s="1">
        <v>0</v>
      </c>
    </row>
    <row r="2608" spans="1:30" s="20" customFormat="1" ht="36" customHeight="1" x14ac:dyDescent="0.25">
      <c r="A2608" s="2">
        <f t="shared" si="1440"/>
        <v>2525</v>
      </c>
      <c r="B2608" s="3">
        <f t="shared" si="1418"/>
        <v>2525</v>
      </c>
      <c r="C2608" s="19" t="s">
        <v>1525</v>
      </c>
      <c r="D2608" s="4">
        <f t="shared" si="1441"/>
        <v>31064148.5</v>
      </c>
      <c r="E2608" s="1">
        <f t="shared" si="1431"/>
        <v>16966440.5</v>
      </c>
      <c r="F2608" s="1">
        <f>804*4322.66</f>
        <v>3475418.6399999997</v>
      </c>
      <c r="G2608" s="1">
        <f>1693*4322.66</f>
        <v>7318263.3799999999</v>
      </c>
      <c r="H2608" s="1">
        <f>390*4322.66</f>
        <v>1685837.4</v>
      </c>
      <c r="I2608" s="1">
        <f>571*4322.66</f>
        <v>2468238.86</v>
      </c>
      <c r="J2608" s="1">
        <f>467*4322.66</f>
        <v>2018682.22</v>
      </c>
      <c r="K2608" s="1">
        <v>0</v>
      </c>
      <c r="L2608" s="2">
        <v>0</v>
      </c>
      <c r="M2608" s="1">
        <v>0</v>
      </c>
      <c r="N2608" s="1">
        <v>1081</v>
      </c>
      <c r="O2608" s="1">
        <f>N2608*4968</f>
        <v>5370408</v>
      </c>
      <c r="P2608" s="1">
        <v>0</v>
      </c>
      <c r="Q2608" s="1">
        <f t="shared" si="1435"/>
        <v>0</v>
      </c>
      <c r="R2608" s="1">
        <v>2300</v>
      </c>
      <c r="S2608" s="1">
        <f t="shared" si="1446"/>
        <v>8627300</v>
      </c>
      <c r="T2608" s="1">
        <v>0</v>
      </c>
      <c r="U2608" s="1">
        <v>50000</v>
      </c>
      <c r="V2608" s="1">
        <v>0</v>
      </c>
      <c r="W2608" s="1">
        <v>50000</v>
      </c>
      <c r="X2608" s="1">
        <v>0</v>
      </c>
      <c r="Y2608" s="1">
        <v>0</v>
      </c>
      <c r="Z2608" s="1">
        <v>0</v>
      </c>
      <c r="AA2608" s="1">
        <v>0</v>
      </c>
      <c r="AB2608" s="1">
        <v>0</v>
      </c>
      <c r="AC2608" s="1">
        <v>0</v>
      </c>
      <c r="AD2608" s="1">
        <v>0</v>
      </c>
    </row>
    <row r="2609" spans="1:30" s="20" customFormat="1" ht="36" customHeight="1" x14ac:dyDescent="0.25">
      <c r="A2609" s="2">
        <f t="shared" si="1440"/>
        <v>2526</v>
      </c>
      <c r="B2609" s="3">
        <f t="shared" si="1418"/>
        <v>2526</v>
      </c>
      <c r="C2609" s="19" t="s">
        <v>1527</v>
      </c>
      <c r="D2609" s="4">
        <f t="shared" si="1441"/>
        <v>46166403.75</v>
      </c>
      <c r="E2609" s="1">
        <f t="shared" si="1431"/>
        <v>25480903.749999996</v>
      </c>
      <c r="F2609" s="1">
        <f>804*6491.95</f>
        <v>5219527.8</v>
      </c>
      <c r="G2609" s="1">
        <f>1693*6491.95</f>
        <v>10990871.35</v>
      </c>
      <c r="H2609" s="1">
        <f>390*6491.95</f>
        <v>2531860.5</v>
      </c>
      <c r="I2609" s="1">
        <f>571*6491.95</f>
        <v>3706903.4499999997</v>
      </c>
      <c r="J2609" s="1">
        <f>467*6491.95</f>
        <v>3031740.65</v>
      </c>
      <c r="K2609" s="1">
        <v>0</v>
      </c>
      <c r="L2609" s="2">
        <v>0</v>
      </c>
      <c r="M2609" s="1">
        <v>0</v>
      </c>
      <c r="N2609" s="1">
        <v>1350</v>
      </c>
      <c r="O2609" s="1">
        <f>N2609*4968</f>
        <v>6706800</v>
      </c>
      <c r="P2609" s="1">
        <v>0</v>
      </c>
      <c r="Q2609" s="1">
        <f t="shared" si="1435"/>
        <v>0</v>
      </c>
      <c r="R2609" s="1">
        <v>3700</v>
      </c>
      <c r="S2609" s="1">
        <f t="shared" si="1446"/>
        <v>13878700</v>
      </c>
      <c r="T2609" s="1">
        <v>0</v>
      </c>
      <c r="U2609" s="1">
        <v>50000</v>
      </c>
      <c r="V2609" s="1">
        <v>0</v>
      </c>
      <c r="W2609" s="1">
        <v>50000</v>
      </c>
      <c r="X2609" s="1">
        <v>0</v>
      </c>
      <c r="Y2609" s="1">
        <v>0</v>
      </c>
      <c r="Z2609" s="1">
        <v>0</v>
      </c>
      <c r="AA2609" s="1">
        <v>0</v>
      </c>
      <c r="AB2609" s="1">
        <v>0</v>
      </c>
      <c r="AC2609" s="1">
        <v>0</v>
      </c>
      <c r="AD2609" s="1">
        <v>0</v>
      </c>
    </row>
    <row r="2610" spans="1:30" s="20" customFormat="1" ht="36" customHeight="1" x14ac:dyDescent="0.25">
      <c r="A2610" s="2">
        <f t="shared" si="1440"/>
        <v>2527</v>
      </c>
      <c r="B2610" s="3">
        <f t="shared" ref="B2610:B2703" si="1448">A2610</f>
        <v>2527</v>
      </c>
      <c r="C2610" s="19" t="s">
        <v>1528</v>
      </c>
      <c r="D2610" s="4">
        <f t="shared" si="1441"/>
        <v>28190449</v>
      </c>
      <c r="E2610" s="1">
        <f t="shared" si="1431"/>
        <v>17076105</v>
      </c>
      <c r="F2610" s="1">
        <f>804*4350.6</f>
        <v>3497882.4000000004</v>
      </c>
      <c r="G2610" s="1">
        <f>1693*4350.6</f>
        <v>7365565.8000000007</v>
      </c>
      <c r="H2610" s="1">
        <f>390*4350.6</f>
        <v>1696734.0000000002</v>
      </c>
      <c r="I2610" s="1">
        <f>571*4350.6</f>
        <v>2484192.6</v>
      </c>
      <c r="J2610" s="1">
        <f>467*4350.6</f>
        <v>2031730.2000000002</v>
      </c>
      <c r="K2610" s="1">
        <v>0</v>
      </c>
      <c r="L2610" s="2">
        <v>0</v>
      </c>
      <c r="M2610" s="1">
        <v>0</v>
      </c>
      <c r="N2610" s="1">
        <v>858</v>
      </c>
      <c r="O2610" s="1">
        <f>N2610*4968</f>
        <v>4262544</v>
      </c>
      <c r="P2610" s="1">
        <v>0</v>
      </c>
      <c r="Q2610" s="1">
        <f t="shared" si="1435"/>
        <v>0</v>
      </c>
      <c r="R2610" s="1">
        <v>1800</v>
      </c>
      <c r="S2610" s="1">
        <f t="shared" si="1446"/>
        <v>6751800</v>
      </c>
      <c r="T2610" s="1">
        <v>0</v>
      </c>
      <c r="U2610" s="1">
        <v>50000</v>
      </c>
      <c r="V2610" s="1">
        <v>0</v>
      </c>
      <c r="W2610" s="1">
        <v>50000</v>
      </c>
      <c r="X2610" s="1">
        <v>0</v>
      </c>
      <c r="Y2610" s="1">
        <v>0</v>
      </c>
      <c r="Z2610" s="1">
        <v>0</v>
      </c>
      <c r="AA2610" s="1">
        <v>0</v>
      </c>
      <c r="AB2610" s="1">
        <v>0</v>
      </c>
      <c r="AC2610" s="1">
        <v>0</v>
      </c>
      <c r="AD2610" s="1">
        <v>0</v>
      </c>
    </row>
    <row r="2611" spans="1:30" s="20" customFormat="1" ht="36" customHeight="1" x14ac:dyDescent="0.25">
      <c r="A2611" s="2">
        <f t="shared" si="1440"/>
        <v>2528</v>
      </c>
      <c r="B2611" s="3">
        <f t="shared" si="1448"/>
        <v>2528</v>
      </c>
      <c r="C2611" s="19" t="s">
        <v>1529</v>
      </c>
      <c r="D2611" s="4">
        <f t="shared" si="1441"/>
        <v>35847213</v>
      </c>
      <c r="E2611" s="1">
        <f t="shared" si="1431"/>
        <v>22348165.000000004</v>
      </c>
      <c r="F2611" s="1">
        <f>804*5693.8</f>
        <v>4577815.2</v>
      </c>
      <c r="G2611" s="1">
        <f>1693*5693.8</f>
        <v>9639603.4000000004</v>
      </c>
      <c r="H2611" s="1">
        <f>390*5693.8</f>
        <v>2220582</v>
      </c>
      <c r="I2611" s="1">
        <f>571*5693.8</f>
        <v>3251159.8000000003</v>
      </c>
      <c r="J2611" s="1">
        <f>467*5693.8</f>
        <v>2659004.6</v>
      </c>
      <c r="K2611" s="1">
        <v>0</v>
      </c>
      <c r="L2611" s="2">
        <v>0</v>
      </c>
      <c r="M2611" s="1">
        <v>0</v>
      </c>
      <c r="N2611" s="1">
        <v>1036</v>
      </c>
      <c r="O2611" s="1">
        <f>N2611*4968</f>
        <v>5146848</v>
      </c>
      <c r="P2611" s="1">
        <v>0</v>
      </c>
      <c r="Q2611" s="1">
        <f t="shared" si="1435"/>
        <v>0</v>
      </c>
      <c r="R2611" s="1">
        <v>2200</v>
      </c>
      <c r="S2611" s="1">
        <f t="shared" si="1446"/>
        <v>8252200</v>
      </c>
      <c r="T2611" s="1">
        <v>0</v>
      </c>
      <c r="U2611" s="1">
        <v>50000</v>
      </c>
      <c r="V2611" s="1">
        <v>0</v>
      </c>
      <c r="W2611" s="1">
        <v>50000</v>
      </c>
      <c r="X2611" s="1">
        <v>0</v>
      </c>
      <c r="Y2611" s="1">
        <v>0</v>
      </c>
      <c r="Z2611" s="1">
        <v>0</v>
      </c>
      <c r="AA2611" s="1">
        <v>0</v>
      </c>
      <c r="AB2611" s="1">
        <v>0</v>
      </c>
      <c r="AC2611" s="1">
        <v>0</v>
      </c>
      <c r="AD2611" s="1">
        <v>0</v>
      </c>
    </row>
    <row r="2612" spans="1:30" s="20" customFormat="1" ht="36" customHeight="1" x14ac:dyDescent="0.25">
      <c r="A2612" s="2">
        <f t="shared" si="1440"/>
        <v>2529</v>
      </c>
      <c r="B2612" s="3">
        <f t="shared" si="1448"/>
        <v>2529</v>
      </c>
      <c r="C2612" s="19" t="s">
        <v>1530</v>
      </c>
      <c r="D2612" s="4">
        <f t="shared" si="1441"/>
        <v>38106855.5</v>
      </c>
      <c r="E2612" s="1">
        <f t="shared" si="1431"/>
        <v>20543842.5</v>
      </c>
      <c r="F2612" s="1">
        <f>804*5234.1</f>
        <v>4208216.4000000004</v>
      </c>
      <c r="G2612" s="1">
        <f>1693*5234.1</f>
        <v>8861331.3000000007</v>
      </c>
      <c r="H2612" s="1">
        <f>390*5234.1</f>
        <v>2041299.0000000002</v>
      </c>
      <c r="I2612" s="1">
        <f>571*5234.1</f>
        <v>2988671.1</v>
      </c>
      <c r="J2612" s="1">
        <f>467*5234.1</f>
        <v>2444324.7000000002</v>
      </c>
      <c r="K2612" s="1">
        <v>0</v>
      </c>
      <c r="L2612" s="2">
        <v>0</v>
      </c>
      <c r="M2612" s="1">
        <v>0</v>
      </c>
      <c r="N2612" s="1">
        <v>1158</v>
      </c>
      <c r="O2612" s="1">
        <f>N2612*7750</f>
        <v>8974500</v>
      </c>
      <c r="P2612" s="1">
        <v>0</v>
      </c>
      <c r="Q2612" s="1">
        <f t="shared" si="1435"/>
        <v>0</v>
      </c>
      <c r="R2612" s="1">
        <v>2263</v>
      </c>
      <c r="S2612" s="1">
        <f t="shared" si="1446"/>
        <v>8488513</v>
      </c>
      <c r="T2612" s="1">
        <v>0</v>
      </c>
      <c r="U2612" s="1">
        <v>50000</v>
      </c>
      <c r="V2612" s="1">
        <v>0</v>
      </c>
      <c r="W2612" s="1">
        <v>50000</v>
      </c>
      <c r="X2612" s="1">
        <v>0</v>
      </c>
      <c r="Y2612" s="1">
        <v>0</v>
      </c>
      <c r="Z2612" s="1">
        <v>0</v>
      </c>
      <c r="AA2612" s="1">
        <v>0</v>
      </c>
      <c r="AB2612" s="1">
        <v>0</v>
      </c>
      <c r="AC2612" s="1">
        <v>0</v>
      </c>
      <c r="AD2612" s="1">
        <v>0</v>
      </c>
    </row>
    <row r="2613" spans="1:30" s="20" customFormat="1" ht="36" customHeight="1" x14ac:dyDescent="0.25">
      <c r="A2613" s="2">
        <f t="shared" si="1440"/>
        <v>2530</v>
      </c>
      <c r="B2613" s="6">
        <f>A2613</f>
        <v>2530</v>
      </c>
      <c r="C2613" s="19" t="s">
        <v>1073</v>
      </c>
      <c r="D2613" s="4">
        <f t="shared" si="1441"/>
        <v>11170044</v>
      </c>
      <c r="E2613" s="1">
        <f>SUM(F2613:K2613)</f>
        <v>0</v>
      </c>
      <c r="F2613" s="1">
        <v>0</v>
      </c>
      <c r="G2613" s="1">
        <v>0</v>
      </c>
      <c r="H2613" s="1">
        <v>0</v>
      </c>
      <c r="I2613" s="1">
        <v>0</v>
      </c>
      <c r="J2613" s="1">
        <v>0</v>
      </c>
      <c r="K2613" s="1">
        <v>0</v>
      </c>
      <c r="L2613" s="2">
        <v>0</v>
      </c>
      <c r="M2613" s="1">
        <v>0</v>
      </c>
      <c r="N2613" s="1">
        <v>694</v>
      </c>
      <c r="O2613" s="1">
        <f>N2613*7750</f>
        <v>5378500</v>
      </c>
      <c r="P2613" s="1">
        <v>0</v>
      </c>
      <c r="Q2613" s="1">
        <f>P2613*1400</f>
        <v>0</v>
      </c>
      <c r="R2613" s="1">
        <v>1544</v>
      </c>
      <c r="S2613" s="1">
        <f>R2613*3751</f>
        <v>5791544</v>
      </c>
      <c r="T2613" s="1">
        <v>0</v>
      </c>
      <c r="U2613" s="1">
        <v>0</v>
      </c>
      <c r="V2613" s="1">
        <v>0</v>
      </c>
      <c r="W2613" s="1">
        <v>0</v>
      </c>
      <c r="X2613" s="1">
        <v>0</v>
      </c>
      <c r="Y2613" s="1">
        <v>0</v>
      </c>
      <c r="Z2613" s="1">
        <v>0</v>
      </c>
      <c r="AA2613" s="1">
        <v>0</v>
      </c>
      <c r="AB2613" s="1">
        <v>0</v>
      </c>
      <c r="AC2613" s="1">
        <v>0</v>
      </c>
      <c r="AD2613" s="1">
        <v>0</v>
      </c>
    </row>
    <row r="2614" spans="1:30" s="20" customFormat="1" ht="36" customHeight="1" x14ac:dyDescent="0.25">
      <c r="A2614" s="2">
        <f t="shared" si="1440"/>
        <v>2531</v>
      </c>
      <c r="B2614" s="6">
        <f>A2614</f>
        <v>2531</v>
      </c>
      <c r="C2614" s="19" t="s">
        <v>1074</v>
      </c>
      <c r="D2614" s="4">
        <f t="shared" si="1441"/>
        <v>16841358.75</v>
      </c>
      <c r="E2614" s="1">
        <f>SUM(F2614:K2614)</f>
        <v>11164858.75</v>
      </c>
      <c r="F2614" s="1">
        <f>804*2844.55</f>
        <v>2287018.2000000002</v>
      </c>
      <c r="G2614" s="1">
        <f>1693*2844.55</f>
        <v>4815823.1500000004</v>
      </c>
      <c r="H2614" s="1">
        <f>390*2844.55</f>
        <v>1109374.5</v>
      </c>
      <c r="I2614" s="1">
        <f>571*2844.55</f>
        <v>1624238.05</v>
      </c>
      <c r="J2614" s="1">
        <f>467*2844.55</f>
        <v>1328404.8500000001</v>
      </c>
      <c r="K2614" s="1">
        <v>0</v>
      </c>
      <c r="L2614" s="2">
        <v>0</v>
      </c>
      <c r="M2614" s="1">
        <v>0</v>
      </c>
      <c r="N2614" s="1">
        <v>0</v>
      </c>
      <c r="O2614" s="1">
        <v>0</v>
      </c>
      <c r="P2614" s="1">
        <v>0</v>
      </c>
      <c r="Q2614" s="1">
        <f>P2614*1400</f>
        <v>0</v>
      </c>
      <c r="R2614" s="1">
        <v>1500</v>
      </c>
      <c r="S2614" s="1">
        <f>R2614*3751</f>
        <v>5626500</v>
      </c>
      <c r="T2614" s="1">
        <v>0</v>
      </c>
      <c r="U2614" s="1">
        <v>50000</v>
      </c>
      <c r="V2614" s="1">
        <v>0</v>
      </c>
      <c r="W2614" s="1">
        <v>0</v>
      </c>
      <c r="X2614" s="1">
        <v>0</v>
      </c>
      <c r="Y2614" s="1">
        <v>0</v>
      </c>
      <c r="Z2614" s="1">
        <v>0</v>
      </c>
      <c r="AA2614" s="1">
        <v>0</v>
      </c>
      <c r="AB2614" s="1">
        <v>0</v>
      </c>
      <c r="AC2614" s="1">
        <v>0</v>
      </c>
      <c r="AD2614" s="1">
        <v>0</v>
      </c>
    </row>
    <row r="2615" spans="1:30" s="20" customFormat="1" ht="36" customHeight="1" x14ac:dyDescent="0.25">
      <c r="A2615" s="2">
        <f t="shared" si="1440"/>
        <v>2532</v>
      </c>
      <c r="B2615" s="3">
        <f t="shared" si="1448"/>
        <v>2532</v>
      </c>
      <c r="C2615" s="19" t="s">
        <v>1531</v>
      </c>
      <c r="D2615" s="4">
        <f t="shared" si="1441"/>
        <v>33170453.500000004</v>
      </c>
      <c r="E2615" s="1">
        <f t="shared" si="1431"/>
        <v>21442353.500000004</v>
      </c>
      <c r="F2615" s="1">
        <f>804*5463.02</f>
        <v>4392268.08</v>
      </c>
      <c r="G2615" s="1">
        <f>1693*5463.02</f>
        <v>9248892.8600000013</v>
      </c>
      <c r="H2615" s="1">
        <f>390*5463.02</f>
        <v>2130577.8000000003</v>
      </c>
      <c r="I2615" s="1">
        <f>571*5463.02</f>
        <v>3119384.4200000004</v>
      </c>
      <c r="J2615" s="1">
        <f>467*5463.02</f>
        <v>2551230.3400000003</v>
      </c>
      <c r="K2615" s="1">
        <v>0</v>
      </c>
      <c r="L2615" s="2">
        <v>0</v>
      </c>
      <c r="M2615" s="1">
        <v>0</v>
      </c>
      <c r="N2615" s="1">
        <v>0</v>
      </c>
      <c r="O2615" s="1">
        <v>0</v>
      </c>
      <c r="P2615" s="1">
        <v>0</v>
      </c>
      <c r="Q2615" s="1">
        <f t="shared" si="1435"/>
        <v>0</v>
      </c>
      <c r="R2615" s="1">
        <v>3100</v>
      </c>
      <c r="S2615" s="1">
        <f t="shared" si="1446"/>
        <v>11628100</v>
      </c>
      <c r="T2615" s="1">
        <v>0</v>
      </c>
      <c r="U2615" s="1">
        <v>50000</v>
      </c>
      <c r="V2615" s="1">
        <v>0</v>
      </c>
      <c r="W2615" s="1">
        <v>50000</v>
      </c>
      <c r="X2615" s="1">
        <v>0</v>
      </c>
      <c r="Y2615" s="1">
        <v>0</v>
      </c>
      <c r="Z2615" s="1">
        <v>0</v>
      </c>
      <c r="AA2615" s="1">
        <v>0</v>
      </c>
      <c r="AB2615" s="1">
        <v>0</v>
      </c>
      <c r="AC2615" s="1">
        <v>0</v>
      </c>
      <c r="AD2615" s="1">
        <v>0</v>
      </c>
    </row>
    <row r="2616" spans="1:30" s="20" customFormat="1" ht="54.95" customHeight="1" x14ac:dyDescent="0.25">
      <c r="A2616" s="3"/>
      <c r="B2616" s="47" t="s">
        <v>1982</v>
      </c>
      <c r="C2616" s="48"/>
      <c r="D2616" s="4">
        <f>SUM(D2617:D2667)</f>
        <v>257329975.83000001</v>
      </c>
      <c r="E2616" s="4">
        <f t="shared" ref="E2616:AD2616" si="1449">SUM(E2617:E2667)</f>
        <v>73057312.829999998</v>
      </c>
      <c r="F2616" s="4">
        <f t="shared" si="1449"/>
        <v>24862711.080000006</v>
      </c>
      <c r="G2616" s="4">
        <f t="shared" si="1449"/>
        <v>25587917.349999998</v>
      </c>
      <c r="H2616" s="4">
        <f t="shared" si="1449"/>
        <v>6779640.2600000007</v>
      </c>
      <c r="I2616" s="4">
        <f t="shared" si="1449"/>
        <v>2493414.25</v>
      </c>
      <c r="J2616" s="4">
        <f t="shared" si="1449"/>
        <v>13333629.890000002</v>
      </c>
      <c r="K2616" s="4">
        <f t="shared" si="1449"/>
        <v>0</v>
      </c>
      <c r="L2616" s="17">
        <f t="shared" si="1449"/>
        <v>0</v>
      </c>
      <c r="M2616" s="4">
        <f t="shared" si="1449"/>
        <v>0</v>
      </c>
      <c r="N2616" s="4">
        <f t="shared" si="1449"/>
        <v>13310.8</v>
      </c>
      <c r="O2616" s="4">
        <f t="shared" si="1449"/>
        <v>101917928</v>
      </c>
      <c r="P2616" s="4">
        <f t="shared" si="1449"/>
        <v>100</v>
      </c>
      <c r="Q2616" s="4">
        <f t="shared" si="1449"/>
        <v>140000</v>
      </c>
      <c r="R2616" s="4">
        <f t="shared" si="1449"/>
        <v>20985</v>
      </c>
      <c r="S2616" s="4">
        <f t="shared" si="1449"/>
        <v>78714735</v>
      </c>
      <c r="T2616" s="4">
        <f t="shared" si="1449"/>
        <v>0</v>
      </c>
      <c r="U2616" s="4">
        <f t="shared" si="1449"/>
        <v>2200000</v>
      </c>
      <c r="V2616" s="4">
        <f t="shared" si="1449"/>
        <v>0</v>
      </c>
      <c r="W2616" s="4">
        <f t="shared" si="1449"/>
        <v>1300000</v>
      </c>
      <c r="X2616" s="4">
        <f t="shared" si="1449"/>
        <v>0</v>
      </c>
      <c r="Y2616" s="4">
        <f t="shared" si="1449"/>
        <v>0</v>
      </c>
      <c r="Z2616" s="4">
        <f t="shared" si="1449"/>
        <v>0</v>
      </c>
      <c r="AA2616" s="4">
        <f t="shared" si="1449"/>
        <v>0</v>
      </c>
      <c r="AB2616" s="4">
        <f t="shared" si="1449"/>
        <v>0</v>
      </c>
      <c r="AC2616" s="4">
        <f t="shared" si="1449"/>
        <v>0</v>
      </c>
      <c r="AD2616" s="4">
        <f t="shared" si="1449"/>
        <v>0</v>
      </c>
    </row>
    <row r="2617" spans="1:30" s="20" customFormat="1" ht="36" customHeight="1" x14ac:dyDescent="0.25">
      <c r="A2617" s="2">
        <f>ROW()-ROW($A$11)-73</f>
        <v>2533</v>
      </c>
      <c r="B2617" s="3">
        <f t="shared" si="1448"/>
        <v>2533</v>
      </c>
      <c r="C2617" s="19" t="s">
        <v>1532</v>
      </c>
      <c r="D2617" s="4">
        <f t="shared" ref="D2617:D2648" si="1450">E2617+M2617+O2617+Q2617+S2617+T2617+U2617+V2617+W2617+X2617+Z2617+AA2617+AB2617+AC2617+AD2617</f>
        <v>5110029.9000000004</v>
      </c>
      <c r="E2617" s="1">
        <f t="shared" ref="E2617:E2667" si="1451">SUM(F2617:K2617)</f>
        <v>632674.89999999991</v>
      </c>
      <c r="F2617" s="1">
        <f>804*380.9</f>
        <v>306243.59999999998</v>
      </c>
      <c r="G2617" s="1">
        <v>0</v>
      </c>
      <c r="H2617" s="1">
        <f>390*380.9</f>
        <v>148551</v>
      </c>
      <c r="I2617" s="1">
        <v>0</v>
      </c>
      <c r="J2617" s="1">
        <f>467*380.9</f>
        <v>177880.3</v>
      </c>
      <c r="K2617" s="1">
        <v>0</v>
      </c>
      <c r="L2617" s="2">
        <v>0</v>
      </c>
      <c r="M2617" s="1">
        <v>0</v>
      </c>
      <c r="N2617" s="1">
        <v>380.9</v>
      </c>
      <c r="O2617" s="1">
        <f t="shared" ref="O2617:O2624" si="1452">N2617*7750</f>
        <v>2951975</v>
      </c>
      <c r="P2617" s="1">
        <v>0</v>
      </c>
      <c r="Q2617" s="1">
        <f t="shared" ref="Q2617:Q2667" si="1453">P2617*1400</f>
        <v>0</v>
      </c>
      <c r="R2617" s="1">
        <v>380</v>
      </c>
      <c r="S2617" s="1">
        <f t="shared" ref="S2617:S2686" si="1454">R2617*3751</f>
        <v>1425380</v>
      </c>
      <c r="T2617" s="1">
        <v>0</v>
      </c>
      <c r="U2617" s="1">
        <v>50000</v>
      </c>
      <c r="V2617" s="1">
        <v>0</v>
      </c>
      <c r="W2617" s="1">
        <v>50000</v>
      </c>
      <c r="X2617" s="1">
        <v>0</v>
      </c>
      <c r="Y2617" s="1">
        <v>0</v>
      </c>
      <c r="Z2617" s="1">
        <v>0</v>
      </c>
      <c r="AA2617" s="1">
        <v>0</v>
      </c>
      <c r="AB2617" s="1">
        <v>0</v>
      </c>
      <c r="AC2617" s="1">
        <v>0</v>
      </c>
      <c r="AD2617" s="1">
        <v>0</v>
      </c>
    </row>
    <row r="2618" spans="1:30" s="20" customFormat="1" ht="36" customHeight="1" x14ac:dyDescent="0.25">
      <c r="A2618" s="2">
        <f t="shared" ref="A2618:A2667" si="1455">ROW()-ROW($A$11)-73</f>
        <v>2534</v>
      </c>
      <c r="B2618" s="3">
        <f t="shared" si="1448"/>
        <v>2534</v>
      </c>
      <c r="C2618" s="19" t="s">
        <v>1533</v>
      </c>
      <c r="D2618" s="4">
        <f t="shared" si="1450"/>
        <v>4976527.7</v>
      </c>
      <c r="E2618" s="1">
        <f t="shared" si="1451"/>
        <v>615732.69999999995</v>
      </c>
      <c r="F2618" s="1">
        <f>804*370.7</f>
        <v>298042.8</v>
      </c>
      <c r="G2618" s="1">
        <v>0</v>
      </c>
      <c r="H2618" s="1">
        <f>390*370.7</f>
        <v>144573</v>
      </c>
      <c r="I2618" s="1">
        <v>0</v>
      </c>
      <c r="J2618" s="1">
        <f>467*370.7</f>
        <v>173116.9</v>
      </c>
      <c r="K2618" s="1">
        <v>0</v>
      </c>
      <c r="L2618" s="2">
        <v>0</v>
      </c>
      <c r="M2618" s="1">
        <v>0</v>
      </c>
      <c r="N2618" s="1">
        <v>370.7</v>
      </c>
      <c r="O2618" s="1">
        <f t="shared" si="1452"/>
        <v>2872925</v>
      </c>
      <c r="P2618" s="1">
        <v>0</v>
      </c>
      <c r="Q2618" s="1">
        <f t="shared" si="1453"/>
        <v>0</v>
      </c>
      <c r="R2618" s="1">
        <v>370</v>
      </c>
      <c r="S2618" s="1">
        <f t="shared" si="1454"/>
        <v>1387870</v>
      </c>
      <c r="T2618" s="1">
        <v>0</v>
      </c>
      <c r="U2618" s="1">
        <v>50000</v>
      </c>
      <c r="V2618" s="1">
        <v>0</v>
      </c>
      <c r="W2618" s="1">
        <v>50000</v>
      </c>
      <c r="X2618" s="1">
        <v>0</v>
      </c>
      <c r="Y2618" s="1">
        <v>0</v>
      </c>
      <c r="Z2618" s="1">
        <v>0</v>
      </c>
      <c r="AA2618" s="1">
        <v>0</v>
      </c>
      <c r="AB2618" s="1">
        <v>0</v>
      </c>
      <c r="AC2618" s="1">
        <v>0</v>
      </c>
      <c r="AD2618" s="1">
        <v>0</v>
      </c>
    </row>
    <row r="2619" spans="1:30" s="20" customFormat="1" ht="36" customHeight="1" x14ac:dyDescent="0.25">
      <c r="A2619" s="2">
        <f t="shared" si="1455"/>
        <v>2535</v>
      </c>
      <c r="B2619" s="3">
        <f t="shared" si="1448"/>
        <v>2535</v>
      </c>
      <c r="C2619" s="19" t="s">
        <v>1534</v>
      </c>
      <c r="D2619" s="4">
        <f t="shared" si="1450"/>
        <v>5577274.2000000002</v>
      </c>
      <c r="E2619" s="1">
        <f t="shared" si="1451"/>
        <v>691308.2</v>
      </c>
      <c r="F2619" s="1">
        <f>804*416.2</f>
        <v>334624.8</v>
      </c>
      <c r="G2619" s="1">
        <v>0</v>
      </c>
      <c r="H2619" s="1">
        <f>390*416.2</f>
        <v>162318</v>
      </c>
      <c r="I2619" s="1">
        <v>0</v>
      </c>
      <c r="J2619" s="1">
        <f>467*416.2</f>
        <v>194365.4</v>
      </c>
      <c r="K2619" s="1">
        <v>0</v>
      </c>
      <c r="L2619" s="2">
        <v>0</v>
      </c>
      <c r="M2619" s="1">
        <v>0</v>
      </c>
      <c r="N2619" s="1">
        <v>416.2</v>
      </c>
      <c r="O2619" s="1">
        <f t="shared" si="1452"/>
        <v>3225550</v>
      </c>
      <c r="P2619" s="1">
        <v>0</v>
      </c>
      <c r="Q2619" s="1">
        <f t="shared" si="1453"/>
        <v>0</v>
      </c>
      <c r="R2619" s="1">
        <v>416</v>
      </c>
      <c r="S2619" s="1">
        <f t="shared" si="1454"/>
        <v>1560416</v>
      </c>
      <c r="T2619" s="1">
        <v>0</v>
      </c>
      <c r="U2619" s="1">
        <v>50000</v>
      </c>
      <c r="V2619" s="1">
        <v>0</v>
      </c>
      <c r="W2619" s="1">
        <v>50000</v>
      </c>
      <c r="X2619" s="1">
        <v>0</v>
      </c>
      <c r="Y2619" s="1">
        <v>0</v>
      </c>
      <c r="Z2619" s="1">
        <v>0</v>
      </c>
      <c r="AA2619" s="1">
        <v>0</v>
      </c>
      <c r="AB2619" s="1">
        <v>0</v>
      </c>
      <c r="AC2619" s="1">
        <v>0</v>
      </c>
      <c r="AD2619" s="1">
        <v>0</v>
      </c>
    </row>
    <row r="2620" spans="1:30" s="20" customFormat="1" ht="36" customHeight="1" x14ac:dyDescent="0.25">
      <c r="A2620" s="2">
        <f t="shared" si="1455"/>
        <v>2536</v>
      </c>
      <c r="B2620" s="3">
        <f t="shared" si="1448"/>
        <v>2536</v>
      </c>
      <c r="C2620" s="19" t="s">
        <v>1535</v>
      </c>
      <c r="D2620" s="4">
        <f t="shared" si="1450"/>
        <v>5684997</v>
      </c>
      <c r="E2620" s="1">
        <f t="shared" si="1451"/>
        <v>1421634.9999999998</v>
      </c>
      <c r="F2620" s="1">
        <f>804*362.2</f>
        <v>291208.8</v>
      </c>
      <c r="G2620" s="1">
        <f>1693*362.2</f>
        <v>613204.6</v>
      </c>
      <c r="H2620" s="1">
        <f>390*362.2</f>
        <v>141258</v>
      </c>
      <c r="I2620" s="1">
        <f>571*362.2</f>
        <v>206816.19999999998</v>
      </c>
      <c r="J2620" s="1">
        <f>467*362.2</f>
        <v>169147.4</v>
      </c>
      <c r="K2620" s="1">
        <v>0</v>
      </c>
      <c r="L2620" s="2">
        <v>0</v>
      </c>
      <c r="M2620" s="1">
        <v>0</v>
      </c>
      <c r="N2620" s="1">
        <v>362</v>
      </c>
      <c r="O2620" s="1">
        <f t="shared" si="1452"/>
        <v>2805500</v>
      </c>
      <c r="P2620" s="1">
        <v>0</v>
      </c>
      <c r="Q2620" s="1">
        <f t="shared" si="1453"/>
        <v>0</v>
      </c>
      <c r="R2620" s="1">
        <v>362</v>
      </c>
      <c r="S2620" s="1">
        <f t="shared" si="1454"/>
        <v>1357862</v>
      </c>
      <c r="T2620" s="1">
        <v>0</v>
      </c>
      <c r="U2620" s="1">
        <v>50000</v>
      </c>
      <c r="V2620" s="1">
        <v>0</v>
      </c>
      <c r="W2620" s="1">
        <v>50000</v>
      </c>
      <c r="X2620" s="1">
        <v>0</v>
      </c>
      <c r="Y2620" s="1">
        <v>0</v>
      </c>
      <c r="Z2620" s="1">
        <v>0</v>
      </c>
      <c r="AA2620" s="1">
        <v>0</v>
      </c>
      <c r="AB2620" s="1">
        <v>0</v>
      </c>
      <c r="AC2620" s="1">
        <v>0</v>
      </c>
      <c r="AD2620" s="1">
        <v>0</v>
      </c>
    </row>
    <row r="2621" spans="1:30" s="20" customFormat="1" ht="36" customHeight="1" x14ac:dyDescent="0.25">
      <c r="A2621" s="2">
        <f t="shared" si="1455"/>
        <v>2537</v>
      </c>
      <c r="B2621" s="6">
        <f t="shared" ref="B2621:B2629" si="1456">A2621</f>
        <v>2537</v>
      </c>
      <c r="C2621" s="19" t="s">
        <v>2165</v>
      </c>
      <c r="D2621" s="4">
        <f t="shared" si="1450"/>
        <v>6262767.7999999998</v>
      </c>
      <c r="E2621" s="1">
        <f t="shared" ref="E2621:E2629" si="1457">SUM(F2621:K2621)</f>
        <v>619220.80000000005</v>
      </c>
      <c r="F2621" s="1">
        <f>804*372.8</f>
        <v>299731.20000000001</v>
      </c>
      <c r="G2621" s="1">
        <v>0</v>
      </c>
      <c r="H2621" s="1">
        <f>390*372.8</f>
        <v>145392</v>
      </c>
      <c r="I2621" s="1">
        <v>0</v>
      </c>
      <c r="J2621" s="1">
        <f>467*372.8</f>
        <v>174097.6</v>
      </c>
      <c r="K2621" s="1">
        <v>0</v>
      </c>
      <c r="L2621" s="2">
        <v>0</v>
      </c>
      <c r="M2621" s="1">
        <v>0</v>
      </c>
      <c r="N2621" s="1">
        <v>457</v>
      </c>
      <c r="O2621" s="1">
        <f t="shared" si="1452"/>
        <v>3541750</v>
      </c>
      <c r="P2621" s="1">
        <v>0</v>
      </c>
      <c r="Q2621" s="1">
        <f t="shared" ref="Q2621:Q2629" si="1458">P2621*1400</f>
        <v>0</v>
      </c>
      <c r="R2621" s="1">
        <v>547</v>
      </c>
      <c r="S2621" s="1">
        <f t="shared" ref="S2621:S2629" si="1459">R2621*3751</f>
        <v>2051797</v>
      </c>
      <c r="T2621" s="1">
        <v>0</v>
      </c>
      <c r="U2621" s="1">
        <v>50000</v>
      </c>
      <c r="V2621" s="1">
        <v>0</v>
      </c>
      <c r="W2621" s="1">
        <v>0</v>
      </c>
      <c r="X2621" s="1">
        <v>0</v>
      </c>
      <c r="Y2621" s="1">
        <v>0</v>
      </c>
      <c r="Z2621" s="1">
        <v>0</v>
      </c>
      <c r="AA2621" s="1">
        <v>0</v>
      </c>
      <c r="AB2621" s="1">
        <v>0</v>
      </c>
      <c r="AC2621" s="1">
        <v>0</v>
      </c>
      <c r="AD2621" s="1">
        <v>0</v>
      </c>
    </row>
    <row r="2622" spans="1:30" s="20" customFormat="1" ht="36" customHeight="1" x14ac:dyDescent="0.25">
      <c r="A2622" s="2">
        <f t="shared" si="1455"/>
        <v>2538</v>
      </c>
      <c r="B2622" s="6">
        <f t="shared" si="1456"/>
        <v>2538</v>
      </c>
      <c r="C2622" s="19" t="s">
        <v>2166</v>
      </c>
      <c r="D2622" s="4">
        <f t="shared" si="1450"/>
        <v>6283583</v>
      </c>
      <c r="E2622" s="1">
        <f t="shared" si="1457"/>
        <v>624536</v>
      </c>
      <c r="F2622" s="1">
        <f>804*376</f>
        <v>302304</v>
      </c>
      <c r="G2622" s="1">
        <v>0</v>
      </c>
      <c r="H2622" s="1">
        <f>390*376</f>
        <v>146640</v>
      </c>
      <c r="I2622" s="1">
        <v>0</v>
      </c>
      <c r="J2622" s="1">
        <f>467*376</f>
        <v>175592</v>
      </c>
      <c r="K2622" s="1">
        <v>0</v>
      </c>
      <c r="L2622" s="2">
        <v>0</v>
      </c>
      <c r="M2622" s="1">
        <v>0</v>
      </c>
      <c r="N2622" s="1">
        <v>459</v>
      </c>
      <c r="O2622" s="1">
        <f t="shared" si="1452"/>
        <v>3557250</v>
      </c>
      <c r="P2622" s="1">
        <v>0</v>
      </c>
      <c r="Q2622" s="1">
        <f t="shared" si="1458"/>
        <v>0</v>
      </c>
      <c r="R2622" s="1">
        <v>547</v>
      </c>
      <c r="S2622" s="1">
        <f t="shared" si="1459"/>
        <v>2051797</v>
      </c>
      <c r="T2622" s="1">
        <v>0</v>
      </c>
      <c r="U2622" s="1">
        <v>50000</v>
      </c>
      <c r="V2622" s="1">
        <v>0</v>
      </c>
      <c r="W2622" s="1">
        <v>0</v>
      </c>
      <c r="X2622" s="1">
        <v>0</v>
      </c>
      <c r="Y2622" s="1">
        <v>0</v>
      </c>
      <c r="Z2622" s="1">
        <v>0</v>
      </c>
      <c r="AA2622" s="1">
        <v>0</v>
      </c>
      <c r="AB2622" s="1">
        <v>0</v>
      </c>
      <c r="AC2622" s="1">
        <v>0</v>
      </c>
      <c r="AD2622" s="1">
        <v>0</v>
      </c>
    </row>
    <row r="2623" spans="1:30" s="20" customFormat="1" ht="36" customHeight="1" x14ac:dyDescent="0.25">
      <c r="A2623" s="2">
        <f t="shared" si="1455"/>
        <v>2539</v>
      </c>
      <c r="B2623" s="6">
        <f t="shared" si="1456"/>
        <v>2539</v>
      </c>
      <c r="C2623" s="19" t="s">
        <v>2167</v>
      </c>
      <c r="D2623" s="4">
        <f t="shared" si="1450"/>
        <v>6138286</v>
      </c>
      <c r="E2623" s="1">
        <f t="shared" si="1457"/>
        <v>624536</v>
      </c>
      <c r="F2623" s="1">
        <f>804*376</f>
        <v>302304</v>
      </c>
      <c r="G2623" s="1">
        <v>0</v>
      </c>
      <c r="H2623" s="1">
        <f>390*376</f>
        <v>146640</v>
      </c>
      <c r="I2623" s="1">
        <v>0</v>
      </c>
      <c r="J2623" s="1">
        <f>467*376</f>
        <v>175592</v>
      </c>
      <c r="K2623" s="1">
        <v>0</v>
      </c>
      <c r="L2623" s="2">
        <v>0</v>
      </c>
      <c r="M2623" s="1">
        <v>0</v>
      </c>
      <c r="N2623" s="1">
        <v>463</v>
      </c>
      <c r="O2623" s="1">
        <f t="shared" si="1452"/>
        <v>3588250</v>
      </c>
      <c r="P2623" s="1">
        <v>0</v>
      </c>
      <c r="Q2623" s="1">
        <f t="shared" si="1458"/>
        <v>0</v>
      </c>
      <c r="R2623" s="1">
        <v>500</v>
      </c>
      <c r="S2623" s="1">
        <f t="shared" si="1459"/>
        <v>1875500</v>
      </c>
      <c r="T2623" s="1">
        <v>0</v>
      </c>
      <c r="U2623" s="1">
        <v>50000</v>
      </c>
      <c r="V2623" s="1">
        <v>0</v>
      </c>
      <c r="W2623" s="1">
        <v>0</v>
      </c>
      <c r="X2623" s="1">
        <v>0</v>
      </c>
      <c r="Y2623" s="1">
        <v>0</v>
      </c>
      <c r="Z2623" s="1">
        <v>0</v>
      </c>
      <c r="AA2623" s="1">
        <v>0</v>
      </c>
      <c r="AB2623" s="1">
        <v>0</v>
      </c>
      <c r="AC2623" s="1">
        <v>0</v>
      </c>
      <c r="AD2623" s="1">
        <v>0</v>
      </c>
    </row>
    <row r="2624" spans="1:30" s="20" customFormat="1" ht="36" customHeight="1" x14ac:dyDescent="0.25">
      <c r="A2624" s="2">
        <f t="shared" si="1455"/>
        <v>2540</v>
      </c>
      <c r="B2624" s="6">
        <f t="shared" si="1456"/>
        <v>2540</v>
      </c>
      <c r="C2624" s="19" t="s">
        <v>2168</v>
      </c>
      <c r="D2624" s="4">
        <f t="shared" si="1450"/>
        <v>6145029.6600000001</v>
      </c>
      <c r="E2624" s="1">
        <f t="shared" si="1457"/>
        <v>631279.66</v>
      </c>
      <c r="F2624" s="1">
        <f>804*380.06</f>
        <v>305568.24</v>
      </c>
      <c r="G2624" s="1">
        <v>0</v>
      </c>
      <c r="H2624" s="1">
        <f>390*380.06</f>
        <v>148223.4</v>
      </c>
      <c r="I2624" s="1">
        <v>0</v>
      </c>
      <c r="J2624" s="1">
        <f>467*380.06</f>
        <v>177488.02</v>
      </c>
      <c r="K2624" s="1">
        <v>0</v>
      </c>
      <c r="L2624" s="2">
        <v>0</v>
      </c>
      <c r="M2624" s="1">
        <v>0</v>
      </c>
      <c r="N2624" s="1">
        <v>463</v>
      </c>
      <c r="O2624" s="1">
        <f t="shared" si="1452"/>
        <v>3588250</v>
      </c>
      <c r="P2624" s="1">
        <v>0</v>
      </c>
      <c r="Q2624" s="1">
        <f t="shared" si="1458"/>
        <v>0</v>
      </c>
      <c r="R2624" s="1">
        <v>500</v>
      </c>
      <c r="S2624" s="1">
        <f t="shared" si="1459"/>
        <v>1875500</v>
      </c>
      <c r="T2624" s="1">
        <v>0</v>
      </c>
      <c r="U2624" s="1">
        <v>50000</v>
      </c>
      <c r="V2624" s="1">
        <v>0</v>
      </c>
      <c r="W2624" s="1">
        <v>0</v>
      </c>
      <c r="X2624" s="1">
        <v>0</v>
      </c>
      <c r="Y2624" s="1">
        <v>0</v>
      </c>
      <c r="Z2624" s="1">
        <v>0</v>
      </c>
      <c r="AA2624" s="1">
        <v>0</v>
      </c>
      <c r="AB2624" s="1">
        <v>0</v>
      </c>
      <c r="AC2624" s="1">
        <v>0</v>
      </c>
      <c r="AD2624" s="1">
        <v>0</v>
      </c>
    </row>
    <row r="2625" spans="1:30" s="20" customFormat="1" ht="36" customHeight="1" x14ac:dyDescent="0.25">
      <c r="A2625" s="2">
        <f t="shared" si="1455"/>
        <v>2541</v>
      </c>
      <c r="B2625" s="6">
        <f t="shared" si="1456"/>
        <v>2541</v>
      </c>
      <c r="C2625" s="19" t="s">
        <v>2221</v>
      </c>
      <c r="D2625" s="4">
        <f t="shared" si="1450"/>
        <v>926946.39999999991</v>
      </c>
      <c r="E2625" s="1">
        <f t="shared" si="1457"/>
        <v>876946.39999999991</v>
      </c>
      <c r="F2625" s="1">
        <f>804*351.2</f>
        <v>282364.79999999999</v>
      </c>
      <c r="G2625" s="1">
        <f>1693*351.2</f>
        <v>594581.6</v>
      </c>
      <c r="H2625" s="1">
        <v>0</v>
      </c>
      <c r="I2625" s="1">
        <v>0</v>
      </c>
      <c r="J2625" s="1">
        <v>0</v>
      </c>
      <c r="K2625" s="1">
        <v>0</v>
      </c>
      <c r="L2625" s="2">
        <v>0</v>
      </c>
      <c r="M2625" s="1">
        <v>0</v>
      </c>
      <c r="N2625" s="1">
        <v>0</v>
      </c>
      <c r="O2625" s="1">
        <v>0</v>
      </c>
      <c r="P2625" s="1">
        <v>0</v>
      </c>
      <c r="Q2625" s="1">
        <f t="shared" si="1458"/>
        <v>0</v>
      </c>
      <c r="R2625" s="1">
        <v>0</v>
      </c>
      <c r="S2625" s="1">
        <f t="shared" si="1459"/>
        <v>0</v>
      </c>
      <c r="T2625" s="1">
        <v>0</v>
      </c>
      <c r="U2625" s="1">
        <v>50000</v>
      </c>
      <c r="V2625" s="1">
        <v>0</v>
      </c>
      <c r="W2625" s="1">
        <v>0</v>
      </c>
      <c r="X2625" s="1">
        <v>0</v>
      </c>
      <c r="Y2625" s="1">
        <v>0</v>
      </c>
      <c r="Z2625" s="1">
        <v>0</v>
      </c>
      <c r="AA2625" s="1">
        <v>0</v>
      </c>
      <c r="AB2625" s="1">
        <v>0</v>
      </c>
      <c r="AC2625" s="1">
        <v>0</v>
      </c>
      <c r="AD2625" s="1">
        <v>0</v>
      </c>
    </row>
    <row r="2626" spans="1:30" s="20" customFormat="1" ht="36" customHeight="1" x14ac:dyDescent="0.25">
      <c r="A2626" s="2">
        <f t="shared" si="1455"/>
        <v>2542</v>
      </c>
      <c r="B2626" s="6">
        <f t="shared" si="1456"/>
        <v>2542</v>
      </c>
      <c r="C2626" s="19" t="s">
        <v>2170</v>
      </c>
      <c r="D2626" s="4">
        <f t="shared" si="1450"/>
        <v>1010096.5</v>
      </c>
      <c r="E2626" s="1">
        <f t="shared" si="1457"/>
        <v>960096.5</v>
      </c>
      <c r="F2626" s="1">
        <f>804*384.5</f>
        <v>309138</v>
      </c>
      <c r="G2626" s="1">
        <f>1693*384.5</f>
        <v>650958.5</v>
      </c>
      <c r="H2626" s="1">
        <v>0</v>
      </c>
      <c r="I2626" s="1">
        <v>0</v>
      </c>
      <c r="J2626" s="1">
        <v>0</v>
      </c>
      <c r="K2626" s="1">
        <v>0</v>
      </c>
      <c r="L2626" s="2">
        <v>0</v>
      </c>
      <c r="M2626" s="1">
        <v>0</v>
      </c>
      <c r="N2626" s="1">
        <v>0</v>
      </c>
      <c r="O2626" s="1">
        <v>0</v>
      </c>
      <c r="P2626" s="1">
        <v>0</v>
      </c>
      <c r="Q2626" s="1">
        <f t="shared" si="1458"/>
        <v>0</v>
      </c>
      <c r="R2626" s="1">
        <v>0</v>
      </c>
      <c r="S2626" s="1">
        <f t="shared" si="1459"/>
        <v>0</v>
      </c>
      <c r="T2626" s="1">
        <v>0</v>
      </c>
      <c r="U2626" s="1">
        <v>50000</v>
      </c>
      <c r="V2626" s="1">
        <v>0</v>
      </c>
      <c r="W2626" s="1">
        <v>0</v>
      </c>
      <c r="X2626" s="1">
        <v>0</v>
      </c>
      <c r="Y2626" s="1">
        <v>0</v>
      </c>
      <c r="Z2626" s="1">
        <v>0</v>
      </c>
      <c r="AA2626" s="1">
        <v>0</v>
      </c>
      <c r="AB2626" s="1">
        <v>0</v>
      </c>
      <c r="AC2626" s="1">
        <v>0</v>
      </c>
      <c r="AD2626" s="1">
        <v>0</v>
      </c>
    </row>
    <row r="2627" spans="1:30" s="20" customFormat="1" ht="36" customHeight="1" x14ac:dyDescent="0.25">
      <c r="A2627" s="2">
        <f t="shared" si="1455"/>
        <v>2543</v>
      </c>
      <c r="B2627" s="6">
        <f t="shared" si="1456"/>
        <v>2543</v>
      </c>
      <c r="C2627" s="19" t="s">
        <v>2171</v>
      </c>
      <c r="D2627" s="4">
        <f t="shared" si="1450"/>
        <v>997112.10000000009</v>
      </c>
      <c r="E2627" s="1">
        <f t="shared" si="1457"/>
        <v>947112.10000000009</v>
      </c>
      <c r="F2627" s="1">
        <f>804*379.3</f>
        <v>304957.2</v>
      </c>
      <c r="G2627" s="1">
        <f>1693*379.3</f>
        <v>642154.9</v>
      </c>
      <c r="H2627" s="1">
        <v>0</v>
      </c>
      <c r="I2627" s="1">
        <v>0</v>
      </c>
      <c r="J2627" s="1">
        <v>0</v>
      </c>
      <c r="K2627" s="1">
        <v>0</v>
      </c>
      <c r="L2627" s="2">
        <v>0</v>
      </c>
      <c r="M2627" s="1">
        <v>0</v>
      </c>
      <c r="N2627" s="1">
        <v>0</v>
      </c>
      <c r="O2627" s="1">
        <v>0</v>
      </c>
      <c r="P2627" s="1">
        <v>0</v>
      </c>
      <c r="Q2627" s="1">
        <f t="shared" si="1458"/>
        <v>0</v>
      </c>
      <c r="R2627" s="1">
        <v>0</v>
      </c>
      <c r="S2627" s="1">
        <f t="shared" si="1459"/>
        <v>0</v>
      </c>
      <c r="T2627" s="1">
        <v>0</v>
      </c>
      <c r="U2627" s="1">
        <v>50000</v>
      </c>
      <c r="V2627" s="1">
        <v>0</v>
      </c>
      <c r="W2627" s="1">
        <v>0</v>
      </c>
      <c r="X2627" s="1">
        <v>0</v>
      </c>
      <c r="Y2627" s="1">
        <v>0</v>
      </c>
      <c r="Z2627" s="1">
        <v>0</v>
      </c>
      <c r="AA2627" s="1">
        <v>0</v>
      </c>
      <c r="AB2627" s="1">
        <v>0</v>
      </c>
      <c r="AC2627" s="1">
        <v>0</v>
      </c>
      <c r="AD2627" s="1">
        <v>0</v>
      </c>
    </row>
    <row r="2628" spans="1:30" s="20" customFormat="1" ht="36" customHeight="1" x14ac:dyDescent="0.25">
      <c r="A2628" s="2">
        <f t="shared" si="1455"/>
        <v>2544</v>
      </c>
      <c r="B2628" s="6">
        <f t="shared" si="1456"/>
        <v>2544</v>
      </c>
      <c r="C2628" s="19" t="s">
        <v>2172</v>
      </c>
      <c r="D2628" s="4">
        <f t="shared" si="1450"/>
        <v>983378.60000000009</v>
      </c>
      <c r="E2628" s="1">
        <f t="shared" si="1457"/>
        <v>933378.60000000009</v>
      </c>
      <c r="F2628" s="1">
        <f>804*373.8</f>
        <v>300535.2</v>
      </c>
      <c r="G2628" s="1">
        <f>1693*373.8</f>
        <v>632843.4</v>
      </c>
      <c r="H2628" s="1">
        <v>0</v>
      </c>
      <c r="I2628" s="1">
        <v>0</v>
      </c>
      <c r="J2628" s="1">
        <v>0</v>
      </c>
      <c r="K2628" s="1">
        <v>0</v>
      </c>
      <c r="L2628" s="2">
        <v>0</v>
      </c>
      <c r="M2628" s="1">
        <v>0</v>
      </c>
      <c r="N2628" s="1">
        <v>0</v>
      </c>
      <c r="O2628" s="1">
        <v>0</v>
      </c>
      <c r="P2628" s="1">
        <v>0</v>
      </c>
      <c r="Q2628" s="1">
        <f t="shared" si="1458"/>
        <v>0</v>
      </c>
      <c r="R2628" s="1">
        <v>0</v>
      </c>
      <c r="S2628" s="1">
        <f t="shared" si="1459"/>
        <v>0</v>
      </c>
      <c r="T2628" s="1">
        <v>0</v>
      </c>
      <c r="U2628" s="1">
        <v>50000</v>
      </c>
      <c r="V2628" s="1">
        <v>0</v>
      </c>
      <c r="W2628" s="1">
        <v>0</v>
      </c>
      <c r="X2628" s="1">
        <v>0</v>
      </c>
      <c r="Y2628" s="1">
        <v>0</v>
      </c>
      <c r="Z2628" s="1">
        <v>0</v>
      </c>
      <c r="AA2628" s="1">
        <v>0</v>
      </c>
      <c r="AB2628" s="1">
        <v>0</v>
      </c>
      <c r="AC2628" s="1">
        <v>0</v>
      </c>
      <c r="AD2628" s="1">
        <v>0</v>
      </c>
    </row>
    <row r="2629" spans="1:30" s="20" customFormat="1" ht="36" customHeight="1" x14ac:dyDescent="0.25">
      <c r="A2629" s="2">
        <f t="shared" si="1455"/>
        <v>2545</v>
      </c>
      <c r="B2629" s="6">
        <f t="shared" si="1456"/>
        <v>2545</v>
      </c>
      <c r="C2629" s="19" t="s">
        <v>2173</v>
      </c>
      <c r="D2629" s="4">
        <f t="shared" si="1450"/>
        <v>975887.60000000009</v>
      </c>
      <c r="E2629" s="1">
        <f t="shared" si="1457"/>
        <v>925887.60000000009</v>
      </c>
      <c r="F2629" s="1">
        <f>804*370.8</f>
        <v>298123.2</v>
      </c>
      <c r="G2629" s="1">
        <f>1693*370.8</f>
        <v>627764.4</v>
      </c>
      <c r="H2629" s="1">
        <v>0</v>
      </c>
      <c r="I2629" s="1">
        <v>0</v>
      </c>
      <c r="J2629" s="1">
        <v>0</v>
      </c>
      <c r="K2629" s="1">
        <v>0</v>
      </c>
      <c r="L2629" s="2">
        <v>0</v>
      </c>
      <c r="M2629" s="1">
        <v>0</v>
      </c>
      <c r="N2629" s="1">
        <v>0</v>
      </c>
      <c r="O2629" s="1">
        <v>0</v>
      </c>
      <c r="P2629" s="1">
        <v>0</v>
      </c>
      <c r="Q2629" s="1">
        <f t="shared" si="1458"/>
        <v>0</v>
      </c>
      <c r="R2629" s="1">
        <v>0</v>
      </c>
      <c r="S2629" s="1">
        <f t="shared" si="1459"/>
        <v>0</v>
      </c>
      <c r="T2629" s="1">
        <v>0</v>
      </c>
      <c r="U2629" s="1">
        <v>50000</v>
      </c>
      <c r="V2629" s="1">
        <v>0</v>
      </c>
      <c r="W2629" s="1">
        <v>0</v>
      </c>
      <c r="X2629" s="1">
        <v>0</v>
      </c>
      <c r="Y2629" s="1">
        <v>0</v>
      </c>
      <c r="Z2629" s="1">
        <v>0</v>
      </c>
      <c r="AA2629" s="1">
        <v>0</v>
      </c>
      <c r="AB2629" s="1">
        <v>0</v>
      </c>
      <c r="AC2629" s="1">
        <v>0</v>
      </c>
      <c r="AD2629" s="1">
        <v>0</v>
      </c>
    </row>
    <row r="2630" spans="1:30" s="20" customFormat="1" ht="36" customHeight="1" x14ac:dyDescent="0.25">
      <c r="A2630" s="2">
        <f t="shared" si="1455"/>
        <v>2546</v>
      </c>
      <c r="B2630" s="3">
        <f t="shared" si="1448"/>
        <v>2546</v>
      </c>
      <c r="C2630" s="19" t="s">
        <v>1536</v>
      </c>
      <c r="D2630" s="4">
        <f t="shared" si="1450"/>
        <v>2670766</v>
      </c>
      <c r="E2630" s="1">
        <f t="shared" si="1451"/>
        <v>657756</v>
      </c>
      <c r="F2630" s="1">
        <f>804*396</f>
        <v>318384</v>
      </c>
      <c r="G2630" s="1">
        <v>0</v>
      </c>
      <c r="H2630" s="1">
        <f>390*396</f>
        <v>154440</v>
      </c>
      <c r="I2630" s="1">
        <v>0</v>
      </c>
      <c r="J2630" s="1">
        <f>467*396</f>
        <v>184932</v>
      </c>
      <c r="K2630" s="1">
        <v>0</v>
      </c>
      <c r="L2630" s="2">
        <v>0</v>
      </c>
      <c r="M2630" s="1">
        <v>0</v>
      </c>
      <c r="N2630" s="1">
        <v>0</v>
      </c>
      <c r="O2630" s="1">
        <v>0</v>
      </c>
      <c r="P2630" s="1">
        <v>0</v>
      </c>
      <c r="Q2630" s="1">
        <f t="shared" si="1453"/>
        <v>0</v>
      </c>
      <c r="R2630" s="1">
        <v>510</v>
      </c>
      <c r="S2630" s="1">
        <f t="shared" si="1454"/>
        <v>1913010</v>
      </c>
      <c r="T2630" s="1">
        <v>0</v>
      </c>
      <c r="U2630" s="1">
        <v>50000</v>
      </c>
      <c r="V2630" s="1">
        <v>0</v>
      </c>
      <c r="W2630" s="1">
        <v>50000</v>
      </c>
      <c r="X2630" s="1">
        <v>0</v>
      </c>
      <c r="Y2630" s="1">
        <v>0</v>
      </c>
      <c r="Z2630" s="1">
        <v>0</v>
      </c>
      <c r="AA2630" s="1">
        <v>0</v>
      </c>
      <c r="AB2630" s="1">
        <v>0</v>
      </c>
      <c r="AC2630" s="1">
        <v>0</v>
      </c>
      <c r="AD2630" s="1">
        <v>0</v>
      </c>
    </row>
    <row r="2631" spans="1:30" s="20" customFormat="1" ht="36" customHeight="1" x14ac:dyDescent="0.25">
      <c r="A2631" s="2">
        <f t="shared" si="1455"/>
        <v>2547</v>
      </c>
      <c r="B2631" s="3">
        <f t="shared" si="1448"/>
        <v>2547</v>
      </c>
      <c r="C2631" s="19" t="s">
        <v>1537</v>
      </c>
      <c r="D2631" s="4">
        <f t="shared" si="1450"/>
        <v>2557543</v>
      </c>
      <c r="E2631" s="1">
        <f t="shared" si="1451"/>
        <v>619553</v>
      </c>
      <c r="F2631" s="1">
        <f>804*373</f>
        <v>299892</v>
      </c>
      <c r="G2631" s="1">
        <v>0</v>
      </c>
      <c r="H2631" s="1">
        <f>390*373</f>
        <v>145470</v>
      </c>
      <c r="I2631" s="1">
        <v>0</v>
      </c>
      <c r="J2631" s="1">
        <f>467*373</f>
        <v>174191</v>
      </c>
      <c r="K2631" s="1">
        <v>0</v>
      </c>
      <c r="L2631" s="2">
        <v>0</v>
      </c>
      <c r="M2631" s="1">
        <v>0</v>
      </c>
      <c r="N2631" s="1">
        <v>0</v>
      </c>
      <c r="O2631" s="1">
        <v>0</v>
      </c>
      <c r="P2631" s="1">
        <v>0</v>
      </c>
      <c r="Q2631" s="1">
        <f t="shared" si="1453"/>
        <v>0</v>
      </c>
      <c r="R2631" s="1">
        <v>490</v>
      </c>
      <c r="S2631" s="1">
        <f t="shared" si="1454"/>
        <v>1837990</v>
      </c>
      <c r="T2631" s="1">
        <v>0</v>
      </c>
      <c r="U2631" s="1">
        <v>50000</v>
      </c>
      <c r="V2631" s="1">
        <v>0</v>
      </c>
      <c r="W2631" s="1">
        <v>50000</v>
      </c>
      <c r="X2631" s="1">
        <v>0</v>
      </c>
      <c r="Y2631" s="1">
        <v>0</v>
      </c>
      <c r="Z2631" s="1">
        <v>0</v>
      </c>
      <c r="AA2631" s="1">
        <v>0</v>
      </c>
      <c r="AB2631" s="1">
        <v>0</v>
      </c>
      <c r="AC2631" s="1">
        <v>0</v>
      </c>
      <c r="AD2631" s="1">
        <v>0</v>
      </c>
    </row>
    <row r="2632" spans="1:30" s="20" customFormat="1" ht="36" customHeight="1" x14ac:dyDescent="0.25">
      <c r="A2632" s="2">
        <f t="shared" si="1455"/>
        <v>2548</v>
      </c>
      <c r="B2632" s="3">
        <f t="shared" si="1448"/>
        <v>2548</v>
      </c>
      <c r="C2632" s="19" t="s">
        <v>1538</v>
      </c>
      <c r="D2632" s="4">
        <f t="shared" si="1450"/>
        <v>1779536.1</v>
      </c>
      <c r="E2632" s="1">
        <f t="shared" si="1451"/>
        <v>633007.10000000009</v>
      </c>
      <c r="F2632" s="1">
        <f>804*381.1</f>
        <v>306404.40000000002</v>
      </c>
      <c r="G2632" s="1">
        <v>0</v>
      </c>
      <c r="H2632" s="1">
        <f>390*381.1</f>
        <v>148629</v>
      </c>
      <c r="I2632" s="1">
        <v>0</v>
      </c>
      <c r="J2632" s="1">
        <f>467*381.1</f>
        <v>177973.7</v>
      </c>
      <c r="K2632" s="1">
        <v>0</v>
      </c>
      <c r="L2632" s="2">
        <v>0</v>
      </c>
      <c r="M2632" s="1">
        <v>0</v>
      </c>
      <c r="N2632" s="1">
        <v>0</v>
      </c>
      <c r="O2632" s="1">
        <v>0</v>
      </c>
      <c r="P2632" s="1">
        <v>0</v>
      </c>
      <c r="Q2632" s="1">
        <f t="shared" si="1453"/>
        <v>0</v>
      </c>
      <c r="R2632" s="1">
        <v>279</v>
      </c>
      <c r="S2632" s="1">
        <f t="shared" si="1454"/>
        <v>1046529</v>
      </c>
      <c r="T2632" s="1">
        <v>0</v>
      </c>
      <c r="U2632" s="1">
        <v>50000</v>
      </c>
      <c r="V2632" s="1">
        <v>0</v>
      </c>
      <c r="W2632" s="1">
        <v>50000</v>
      </c>
      <c r="X2632" s="1">
        <v>0</v>
      </c>
      <c r="Y2632" s="1">
        <v>0</v>
      </c>
      <c r="Z2632" s="1">
        <v>0</v>
      </c>
      <c r="AA2632" s="1">
        <v>0</v>
      </c>
      <c r="AB2632" s="1">
        <v>0</v>
      </c>
      <c r="AC2632" s="1">
        <v>0</v>
      </c>
      <c r="AD2632" s="1">
        <v>0</v>
      </c>
    </row>
    <row r="2633" spans="1:30" s="20" customFormat="1" ht="36" customHeight="1" x14ac:dyDescent="0.25">
      <c r="A2633" s="2">
        <f t="shared" si="1455"/>
        <v>2549</v>
      </c>
      <c r="B2633" s="3">
        <f t="shared" si="1448"/>
        <v>2549</v>
      </c>
      <c r="C2633" s="19" t="s">
        <v>1539</v>
      </c>
      <c r="D2633" s="4">
        <f t="shared" si="1450"/>
        <v>412082.5</v>
      </c>
      <c r="E2633" s="1">
        <f t="shared" si="1451"/>
        <v>362082.5</v>
      </c>
      <c r="F2633" s="1">
        <v>0</v>
      </c>
      <c r="G2633" s="1">
        <v>0</v>
      </c>
      <c r="H2633" s="1">
        <f>390*422.5</f>
        <v>164775</v>
      </c>
      <c r="I2633" s="1">
        <v>0</v>
      </c>
      <c r="J2633" s="1">
        <f>467*422.5</f>
        <v>197307.5</v>
      </c>
      <c r="K2633" s="1">
        <v>0</v>
      </c>
      <c r="L2633" s="2">
        <v>0</v>
      </c>
      <c r="M2633" s="1">
        <v>0</v>
      </c>
      <c r="N2633" s="1">
        <v>0</v>
      </c>
      <c r="O2633" s="1">
        <v>0</v>
      </c>
      <c r="P2633" s="1">
        <v>0</v>
      </c>
      <c r="Q2633" s="1">
        <v>0</v>
      </c>
      <c r="R2633" s="1">
        <v>0</v>
      </c>
      <c r="S2633" s="1">
        <f t="shared" si="1454"/>
        <v>0</v>
      </c>
      <c r="T2633" s="1">
        <v>0</v>
      </c>
      <c r="U2633" s="1">
        <v>50000</v>
      </c>
      <c r="V2633" s="1">
        <v>0</v>
      </c>
      <c r="W2633" s="1">
        <v>0</v>
      </c>
      <c r="X2633" s="1">
        <v>0</v>
      </c>
      <c r="Y2633" s="1">
        <v>0</v>
      </c>
      <c r="Z2633" s="1">
        <v>0</v>
      </c>
      <c r="AA2633" s="1">
        <v>0</v>
      </c>
      <c r="AB2633" s="1">
        <v>0</v>
      </c>
      <c r="AC2633" s="1">
        <v>0</v>
      </c>
      <c r="AD2633" s="1">
        <v>0</v>
      </c>
    </row>
    <row r="2634" spans="1:30" s="20" customFormat="1" ht="36" customHeight="1" x14ac:dyDescent="0.25">
      <c r="A2634" s="2">
        <f t="shared" si="1455"/>
        <v>2550</v>
      </c>
      <c r="B2634" s="6">
        <f>A2634</f>
        <v>2550</v>
      </c>
      <c r="C2634" s="19" t="s">
        <v>2169</v>
      </c>
      <c r="D2634" s="4">
        <f t="shared" si="1450"/>
        <v>2408142</v>
      </c>
      <c r="E2634" s="1">
        <f>SUM(F2634:K2634)</f>
        <v>0</v>
      </c>
      <c r="F2634" s="1">
        <v>0</v>
      </c>
      <c r="G2634" s="1">
        <v>0</v>
      </c>
      <c r="H2634" s="1">
        <v>0</v>
      </c>
      <c r="I2634" s="1">
        <v>0</v>
      </c>
      <c r="J2634" s="1">
        <v>0</v>
      </c>
      <c r="K2634" s="1">
        <v>0</v>
      </c>
      <c r="L2634" s="2">
        <v>0</v>
      </c>
      <c r="M2634" s="1">
        <v>0</v>
      </c>
      <c r="N2634" s="1">
        <v>0</v>
      </c>
      <c r="O2634" s="1">
        <v>0</v>
      </c>
      <c r="P2634" s="1">
        <v>0</v>
      </c>
      <c r="Q2634" s="1">
        <f>P2634*1400</f>
        <v>0</v>
      </c>
      <c r="R2634" s="1">
        <v>642</v>
      </c>
      <c r="S2634" s="1">
        <f>R2634*3751</f>
        <v>2408142</v>
      </c>
      <c r="T2634" s="1">
        <v>0</v>
      </c>
      <c r="U2634" s="1">
        <v>0</v>
      </c>
      <c r="V2634" s="1">
        <v>0</v>
      </c>
      <c r="W2634" s="1">
        <v>0</v>
      </c>
      <c r="X2634" s="1">
        <v>0</v>
      </c>
      <c r="Y2634" s="1">
        <v>0</v>
      </c>
      <c r="Z2634" s="1">
        <v>0</v>
      </c>
      <c r="AA2634" s="1">
        <v>0</v>
      </c>
      <c r="AB2634" s="1">
        <v>0</v>
      </c>
      <c r="AC2634" s="1">
        <v>0</v>
      </c>
      <c r="AD2634" s="1">
        <v>0</v>
      </c>
    </row>
    <row r="2635" spans="1:30" s="20" customFormat="1" ht="36" customHeight="1" x14ac:dyDescent="0.25">
      <c r="A2635" s="2">
        <f t="shared" si="1455"/>
        <v>2551</v>
      </c>
      <c r="B2635" s="3">
        <f t="shared" si="1448"/>
        <v>2551</v>
      </c>
      <c r="C2635" s="19" t="s">
        <v>1540</v>
      </c>
      <c r="D2635" s="4">
        <f t="shared" si="1450"/>
        <v>6649606.4000000004</v>
      </c>
      <c r="E2635" s="1">
        <f t="shared" si="1451"/>
        <v>1296656.4000000001</v>
      </c>
      <c r="F2635" s="1">
        <f>804*386.6</f>
        <v>310826.40000000002</v>
      </c>
      <c r="G2635" s="1">
        <f>1693*386.6</f>
        <v>654513.80000000005</v>
      </c>
      <c r="H2635" s="1">
        <f>390*386.6</f>
        <v>150774</v>
      </c>
      <c r="I2635" s="1">
        <v>0</v>
      </c>
      <c r="J2635" s="1">
        <f>467*386.6</f>
        <v>180542.2</v>
      </c>
      <c r="K2635" s="1">
        <v>0</v>
      </c>
      <c r="L2635" s="2">
        <v>0</v>
      </c>
      <c r="M2635" s="1">
        <v>0</v>
      </c>
      <c r="N2635" s="1">
        <v>460</v>
      </c>
      <c r="O2635" s="1">
        <f t="shared" ref="O2635:O2645" si="1460">N2635*7750</f>
        <v>3565000</v>
      </c>
      <c r="P2635" s="1">
        <v>0</v>
      </c>
      <c r="Q2635" s="1">
        <f t="shared" si="1453"/>
        <v>0</v>
      </c>
      <c r="R2635" s="1">
        <v>450</v>
      </c>
      <c r="S2635" s="1">
        <f t="shared" si="1454"/>
        <v>1687950</v>
      </c>
      <c r="T2635" s="1">
        <v>0</v>
      </c>
      <c r="U2635" s="1">
        <v>50000</v>
      </c>
      <c r="V2635" s="1">
        <v>0</v>
      </c>
      <c r="W2635" s="1">
        <v>50000</v>
      </c>
      <c r="X2635" s="1">
        <v>0</v>
      </c>
      <c r="Y2635" s="1">
        <v>0</v>
      </c>
      <c r="Z2635" s="1">
        <v>0</v>
      </c>
      <c r="AA2635" s="1">
        <v>0</v>
      </c>
      <c r="AB2635" s="1">
        <v>0</v>
      </c>
      <c r="AC2635" s="1">
        <v>0</v>
      </c>
      <c r="AD2635" s="1">
        <v>0</v>
      </c>
    </row>
    <row r="2636" spans="1:30" s="20" customFormat="1" ht="36" customHeight="1" x14ac:dyDescent="0.25">
      <c r="A2636" s="2">
        <f t="shared" si="1455"/>
        <v>2552</v>
      </c>
      <c r="B2636" s="3">
        <f t="shared" si="1448"/>
        <v>2552</v>
      </c>
      <c r="C2636" s="19" t="s">
        <v>1541</v>
      </c>
      <c r="D2636" s="4">
        <f t="shared" si="1450"/>
        <v>8011255.1999999993</v>
      </c>
      <c r="E2636" s="1">
        <f t="shared" si="1451"/>
        <v>1860799.1999999997</v>
      </c>
      <c r="F2636" s="1">
        <f>804*554.8</f>
        <v>446059.19999999995</v>
      </c>
      <c r="G2636" s="1">
        <f>1693*554.8</f>
        <v>939276.39999999991</v>
      </c>
      <c r="H2636" s="1">
        <f>390*554.8</f>
        <v>216371.99999999997</v>
      </c>
      <c r="I2636" s="1">
        <v>0</v>
      </c>
      <c r="J2636" s="1">
        <f>467*554.8</f>
        <v>259091.59999999998</v>
      </c>
      <c r="K2636" s="1">
        <v>0</v>
      </c>
      <c r="L2636" s="2">
        <v>0</v>
      </c>
      <c r="M2636" s="1">
        <v>0</v>
      </c>
      <c r="N2636" s="1">
        <v>560</v>
      </c>
      <c r="O2636" s="1">
        <f t="shared" si="1460"/>
        <v>4340000</v>
      </c>
      <c r="P2636" s="1">
        <v>0</v>
      </c>
      <c r="Q2636" s="1">
        <f t="shared" si="1453"/>
        <v>0</v>
      </c>
      <c r="R2636" s="1">
        <v>456</v>
      </c>
      <c r="S2636" s="1">
        <f t="shared" si="1454"/>
        <v>1710456</v>
      </c>
      <c r="T2636" s="1">
        <v>0</v>
      </c>
      <c r="U2636" s="1">
        <v>50000</v>
      </c>
      <c r="V2636" s="1">
        <v>0</v>
      </c>
      <c r="W2636" s="1">
        <v>50000</v>
      </c>
      <c r="X2636" s="1">
        <v>0</v>
      </c>
      <c r="Y2636" s="1">
        <v>0</v>
      </c>
      <c r="Z2636" s="1">
        <v>0</v>
      </c>
      <c r="AA2636" s="1">
        <v>0</v>
      </c>
      <c r="AB2636" s="1">
        <v>0</v>
      </c>
      <c r="AC2636" s="1">
        <v>0</v>
      </c>
      <c r="AD2636" s="1">
        <v>0</v>
      </c>
    </row>
    <row r="2637" spans="1:30" s="20" customFormat="1" ht="36" customHeight="1" x14ac:dyDescent="0.25">
      <c r="A2637" s="2">
        <f t="shared" si="1455"/>
        <v>2553</v>
      </c>
      <c r="B2637" s="3">
        <f t="shared" si="1448"/>
        <v>2553</v>
      </c>
      <c r="C2637" s="19" t="s">
        <v>1542</v>
      </c>
      <c r="D2637" s="4">
        <f t="shared" si="1450"/>
        <v>6425347.2000000002</v>
      </c>
      <c r="E2637" s="1">
        <f t="shared" si="1451"/>
        <v>1248694.2000000002</v>
      </c>
      <c r="F2637" s="1">
        <f>804*372.3</f>
        <v>299329.2</v>
      </c>
      <c r="G2637" s="1">
        <f>1693*372.3</f>
        <v>630303.9</v>
      </c>
      <c r="H2637" s="1">
        <f>390*372.3</f>
        <v>145197</v>
      </c>
      <c r="I2637" s="1">
        <v>0</v>
      </c>
      <c r="J2637" s="1">
        <f>467*372.3</f>
        <v>173864.1</v>
      </c>
      <c r="K2637" s="1">
        <v>0</v>
      </c>
      <c r="L2637" s="2">
        <v>0</v>
      </c>
      <c r="M2637" s="1">
        <v>0</v>
      </c>
      <c r="N2637" s="1">
        <v>460</v>
      </c>
      <c r="O2637" s="1">
        <f t="shared" si="1460"/>
        <v>3565000</v>
      </c>
      <c r="P2637" s="1">
        <v>0</v>
      </c>
      <c r="Q2637" s="1">
        <f t="shared" si="1453"/>
        <v>0</v>
      </c>
      <c r="R2637" s="1">
        <v>403</v>
      </c>
      <c r="S2637" s="1">
        <f t="shared" si="1454"/>
        <v>1511653</v>
      </c>
      <c r="T2637" s="1">
        <v>0</v>
      </c>
      <c r="U2637" s="1">
        <v>50000</v>
      </c>
      <c r="V2637" s="1">
        <v>0</v>
      </c>
      <c r="W2637" s="1">
        <v>50000</v>
      </c>
      <c r="X2637" s="1">
        <v>0</v>
      </c>
      <c r="Y2637" s="1">
        <v>0</v>
      </c>
      <c r="Z2637" s="1">
        <v>0</v>
      </c>
      <c r="AA2637" s="1">
        <v>0</v>
      </c>
      <c r="AB2637" s="1">
        <v>0</v>
      </c>
      <c r="AC2637" s="1">
        <v>0</v>
      </c>
      <c r="AD2637" s="1">
        <v>0</v>
      </c>
    </row>
    <row r="2638" spans="1:30" s="20" customFormat="1" ht="36" customHeight="1" x14ac:dyDescent="0.25">
      <c r="A2638" s="2">
        <f t="shared" si="1455"/>
        <v>2554</v>
      </c>
      <c r="B2638" s="3">
        <f t="shared" si="1448"/>
        <v>2554</v>
      </c>
      <c r="C2638" s="19" t="s">
        <v>1543</v>
      </c>
      <c r="D2638" s="4">
        <f t="shared" si="1450"/>
        <v>5731051.2000000002</v>
      </c>
      <c r="E2638" s="1">
        <f t="shared" si="1451"/>
        <v>1272172.2000000002</v>
      </c>
      <c r="F2638" s="1">
        <f>804*379.3</f>
        <v>304957.2</v>
      </c>
      <c r="G2638" s="1">
        <f>1693*379.3</f>
        <v>642154.9</v>
      </c>
      <c r="H2638" s="1">
        <f>390*379.3</f>
        <v>147927</v>
      </c>
      <c r="I2638" s="1">
        <v>0</v>
      </c>
      <c r="J2638" s="1">
        <f>467*379.3</f>
        <v>177133.1</v>
      </c>
      <c r="K2638" s="1">
        <v>0</v>
      </c>
      <c r="L2638" s="2">
        <v>0</v>
      </c>
      <c r="M2638" s="1">
        <v>0</v>
      </c>
      <c r="N2638" s="1">
        <v>379</v>
      </c>
      <c r="O2638" s="1">
        <f t="shared" si="1460"/>
        <v>2937250</v>
      </c>
      <c r="P2638" s="1">
        <v>0</v>
      </c>
      <c r="Q2638" s="1">
        <f t="shared" si="1453"/>
        <v>0</v>
      </c>
      <c r="R2638" s="1">
        <v>379</v>
      </c>
      <c r="S2638" s="1">
        <f t="shared" si="1454"/>
        <v>1421629</v>
      </c>
      <c r="T2638" s="1">
        <v>0</v>
      </c>
      <c r="U2638" s="1">
        <v>50000</v>
      </c>
      <c r="V2638" s="1">
        <v>0</v>
      </c>
      <c r="W2638" s="1">
        <v>50000</v>
      </c>
      <c r="X2638" s="1">
        <v>0</v>
      </c>
      <c r="Y2638" s="1">
        <v>0</v>
      </c>
      <c r="Z2638" s="1">
        <v>0</v>
      </c>
      <c r="AA2638" s="1">
        <v>0</v>
      </c>
      <c r="AB2638" s="1">
        <v>0</v>
      </c>
      <c r="AC2638" s="1">
        <v>0</v>
      </c>
      <c r="AD2638" s="1">
        <v>0</v>
      </c>
    </row>
    <row r="2639" spans="1:30" s="20" customFormat="1" ht="36" customHeight="1" x14ac:dyDescent="0.25">
      <c r="A2639" s="2">
        <f t="shared" si="1455"/>
        <v>2555</v>
      </c>
      <c r="B2639" s="3">
        <f t="shared" si="1448"/>
        <v>2555</v>
      </c>
      <c r="C2639" s="19" t="s">
        <v>1544</v>
      </c>
      <c r="D2639" s="4">
        <f t="shared" si="1450"/>
        <v>4984430.8</v>
      </c>
      <c r="E2639" s="1">
        <f t="shared" si="1451"/>
        <v>617559.80000000005</v>
      </c>
      <c r="F2639" s="1">
        <f>804*371.8</f>
        <v>298927.2</v>
      </c>
      <c r="G2639" s="1">
        <v>0</v>
      </c>
      <c r="H2639" s="1">
        <f>390*371.8</f>
        <v>145002</v>
      </c>
      <c r="I2639" s="1">
        <v>0</v>
      </c>
      <c r="J2639" s="1">
        <f>467*371.8</f>
        <v>173630.6</v>
      </c>
      <c r="K2639" s="1">
        <v>0</v>
      </c>
      <c r="L2639" s="2">
        <v>0</v>
      </c>
      <c r="M2639" s="1">
        <v>0</v>
      </c>
      <c r="N2639" s="1">
        <v>371</v>
      </c>
      <c r="O2639" s="1">
        <f t="shared" si="1460"/>
        <v>2875250</v>
      </c>
      <c r="P2639" s="1">
        <v>0</v>
      </c>
      <c r="Q2639" s="1">
        <f t="shared" si="1453"/>
        <v>0</v>
      </c>
      <c r="R2639" s="1">
        <v>371</v>
      </c>
      <c r="S2639" s="1">
        <f t="shared" si="1454"/>
        <v>1391621</v>
      </c>
      <c r="T2639" s="1">
        <v>0</v>
      </c>
      <c r="U2639" s="1">
        <v>50000</v>
      </c>
      <c r="V2639" s="1">
        <v>0</v>
      </c>
      <c r="W2639" s="1">
        <v>50000</v>
      </c>
      <c r="X2639" s="1">
        <v>0</v>
      </c>
      <c r="Y2639" s="1">
        <v>0</v>
      </c>
      <c r="Z2639" s="1">
        <v>0</v>
      </c>
      <c r="AA2639" s="1">
        <v>0</v>
      </c>
      <c r="AB2639" s="1">
        <v>0</v>
      </c>
      <c r="AC2639" s="1">
        <v>0</v>
      </c>
      <c r="AD2639" s="1">
        <v>0</v>
      </c>
    </row>
    <row r="2640" spans="1:30" s="20" customFormat="1" ht="36" customHeight="1" x14ac:dyDescent="0.25">
      <c r="A2640" s="2">
        <f t="shared" si="1455"/>
        <v>2556</v>
      </c>
      <c r="B2640" s="3">
        <f t="shared" si="1448"/>
        <v>2556</v>
      </c>
      <c r="C2640" s="19" t="s">
        <v>1545</v>
      </c>
      <c r="D2640" s="4">
        <f t="shared" si="1450"/>
        <v>4970438.3</v>
      </c>
      <c r="E2640" s="1">
        <f t="shared" si="1451"/>
        <v>615068.30000000005</v>
      </c>
      <c r="F2640" s="1">
        <f>804*370.3</f>
        <v>297721.2</v>
      </c>
      <c r="G2640" s="1">
        <v>0</v>
      </c>
      <c r="H2640" s="1">
        <f>390*370.3</f>
        <v>144417</v>
      </c>
      <c r="I2640" s="1">
        <v>0</v>
      </c>
      <c r="J2640" s="1">
        <f>467*370.3</f>
        <v>172930.1</v>
      </c>
      <c r="K2640" s="1">
        <v>0</v>
      </c>
      <c r="L2640" s="2">
        <v>0</v>
      </c>
      <c r="M2640" s="1">
        <v>0</v>
      </c>
      <c r="N2640" s="1">
        <v>370</v>
      </c>
      <c r="O2640" s="1">
        <f t="shared" si="1460"/>
        <v>2867500</v>
      </c>
      <c r="P2640" s="1">
        <v>0</v>
      </c>
      <c r="Q2640" s="1">
        <f t="shared" si="1453"/>
        <v>0</v>
      </c>
      <c r="R2640" s="1">
        <v>370</v>
      </c>
      <c r="S2640" s="1">
        <f t="shared" si="1454"/>
        <v>1387870</v>
      </c>
      <c r="T2640" s="1">
        <v>0</v>
      </c>
      <c r="U2640" s="1">
        <v>50000</v>
      </c>
      <c r="V2640" s="1">
        <v>0</v>
      </c>
      <c r="W2640" s="1">
        <v>50000</v>
      </c>
      <c r="X2640" s="1">
        <v>0</v>
      </c>
      <c r="Y2640" s="1">
        <v>0</v>
      </c>
      <c r="Z2640" s="1">
        <v>0</v>
      </c>
      <c r="AA2640" s="1">
        <v>0</v>
      </c>
      <c r="AB2640" s="1">
        <v>0</v>
      </c>
      <c r="AC2640" s="1">
        <v>0</v>
      </c>
      <c r="AD2640" s="1">
        <v>0</v>
      </c>
    </row>
    <row r="2641" spans="1:30" s="20" customFormat="1" ht="36" customHeight="1" x14ac:dyDescent="0.25">
      <c r="A2641" s="2">
        <f t="shared" si="1455"/>
        <v>2557</v>
      </c>
      <c r="B2641" s="3">
        <f t="shared" si="1448"/>
        <v>2557</v>
      </c>
      <c r="C2641" s="19" t="s">
        <v>1546</v>
      </c>
      <c r="D2641" s="4">
        <f t="shared" si="1450"/>
        <v>5023086.3</v>
      </c>
      <c r="E2641" s="1">
        <f t="shared" si="1451"/>
        <v>621712.30000000005</v>
      </c>
      <c r="F2641" s="1">
        <f>804*374.3</f>
        <v>300937.2</v>
      </c>
      <c r="G2641" s="1">
        <v>0</v>
      </c>
      <c r="H2641" s="1">
        <f>390*374.3</f>
        <v>145977</v>
      </c>
      <c r="I2641" s="1">
        <v>0</v>
      </c>
      <c r="J2641" s="1">
        <f>467*374.3</f>
        <v>174798.1</v>
      </c>
      <c r="K2641" s="1">
        <v>0</v>
      </c>
      <c r="L2641" s="2">
        <v>0</v>
      </c>
      <c r="M2641" s="1">
        <v>0</v>
      </c>
      <c r="N2641" s="1">
        <v>374</v>
      </c>
      <c r="O2641" s="1">
        <f t="shared" si="1460"/>
        <v>2898500</v>
      </c>
      <c r="P2641" s="1">
        <v>0</v>
      </c>
      <c r="Q2641" s="1">
        <f t="shared" si="1453"/>
        <v>0</v>
      </c>
      <c r="R2641" s="1">
        <v>374</v>
      </c>
      <c r="S2641" s="1">
        <f t="shared" si="1454"/>
        <v>1402874</v>
      </c>
      <c r="T2641" s="1">
        <v>0</v>
      </c>
      <c r="U2641" s="1">
        <v>50000</v>
      </c>
      <c r="V2641" s="1">
        <v>0</v>
      </c>
      <c r="W2641" s="1">
        <v>50000</v>
      </c>
      <c r="X2641" s="1">
        <v>0</v>
      </c>
      <c r="Y2641" s="1">
        <v>0</v>
      </c>
      <c r="Z2641" s="1">
        <v>0</v>
      </c>
      <c r="AA2641" s="1">
        <v>0</v>
      </c>
      <c r="AB2641" s="1">
        <v>0</v>
      </c>
      <c r="AC2641" s="1">
        <v>0</v>
      </c>
      <c r="AD2641" s="1">
        <v>0</v>
      </c>
    </row>
    <row r="2642" spans="1:30" s="20" customFormat="1" ht="36" customHeight="1" x14ac:dyDescent="0.25">
      <c r="A2642" s="2">
        <f t="shared" si="1455"/>
        <v>2558</v>
      </c>
      <c r="B2642" s="6">
        <f>A2642</f>
        <v>2558</v>
      </c>
      <c r="C2642" s="19" t="s">
        <v>2180</v>
      </c>
      <c r="D2642" s="4">
        <f t="shared" si="1450"/>
        <v>7557044.25</v>
      </c>
      <c r="E2642" s="1">
        <f>SUM(F2642:K2642)</f>
        <v>2575781.25</v>
      </c>
      <c r="F2642" s="1">
        <f>804*656.25</f>
        <v>527625</v>
      </c>
      <c r="G2642" s="1">
        <f>1693*656.25</f>
        <v>1111031.25</v>
      </c>
      <c r="H2642" s="1">
        <f>390*656.25</f>
        <v>255937.5</v>
      </c>
      <c r="I2642" s="1">
        <f>571*656.25</f>
        <v>374718.75</v>
      </c>
      <c r="J2642" s="1">
        <f>467*656.25</f>
        <v>306468.75</v>
      </c>
      <c r="K2642" s="1">
        <v>0</v>
      </c>
      <c r="L2642" s="2">
        <v>0</v>
      </c>
      <c r="M2642" s="1">
        <v>0</v>
      </c>
      <c r="N2642" s="1">
        <v>388</v>
      </c>
      <c r="O2642" s="1">
        <f>N2642*7750</f>
        <v>3007000</v>
      </c>
      <c r="P2642" s="1">
        <v>0</v>
      </c>
      <c r="Q2642" s="1">
        <f>P2642*1400</f>
        <v>0</v>
      </c>
      <c r="R2642" s="1">
        <v>513</v>
      </c>
      <c r="S2642" s="1">
        <f>R2642*3751</f>
        <v>1924263</v>
      </c>
      <c r="T2642" s="1">
        <v>0</v>
      </c>
      <c r="U2642" s="1">
        <v>50000</v>
      </c>
      <c r="V2642" s="1">
        <v>0</v>
      </c>
      <c r="W2642" s="1">
        <v>0</v>
      </c>
      <c r="X2642" s="1">
        <v>0</v>
      </c>
      <c r="Y2642" s="1">
        <v>0</v>
      </c>
      <c r="Z2642" s="1">
        <v>0</v>
      </c>
      <c r="AA2642" s="1">
        <v>0</v>
      </c>
      <c r="AB2642" s="1">
        <v>0</v>
      </c>
      <c r="AC2642" s="1">
        <v>0</v>
      </c>
      <c r="AD2642" s="1">
        <v>0</v>
      </c>
    </row>
    <row r="2643" spans="1:30" s="20" customFormat="1" ht="36" customHeight="1" x14ac:dyDescent="0.25">
      <c r="A2643" s="2">
        <f t="shared" si="1455"/>
        <v>2559</v>
      </c>
      <c r="B2643" s="6">
        <f>A2643</f>
        <v>2559</v>
      </c>
      <c r="C2643" s="19" t="s">
        <v>2181</v>
      </c>
      <c r="D2643" s="4">
        <f t="shared" si="1450"/>
        <v>7583675.5</v>
      </c>
      <c r="E2643" s="1">
        <f>SUM(F2643:K2643)</f>
        <v>2546147.5</v>
      </c>
      <c r="F2643" s="1">
        <f>804*648.7</f>
        <v>521554.80000000005</v>
      </c>
      <c r="G2643" s="1">
        <f>1693*648.7</f>
        <v>1098249.1000000001</v>
      </c>
      <c r="H2643" s="1">
        <f>390*648.7</f>
        <v>252993.00000000003</v>
      </c>
      <c r="I2643" s="1">
        <f>571*648.7</f>
        <v>370407.7</v>
      </c>
      <c r="J2643" s="1">
        <f>467*648.7</f>
        <v>302942.90000000002</v>
      </c>
      <c r="K2643" s="1">
        <v>0</v>
      </c>
      <c r="L2643" s="2">
        <v>0</v>
      </c>
      <c r="M2643" s="1">
        <v>0</v>
      </c>
      <c r="N2643" s="1">
        <v>388</v>
      </c>
      <c r="O2643" s="1">
        <f>N2643*7750</f>
        <v>3007000</v>
      </c>
      <c r="P2643" s="1">
        <v>0</v>
      </c>
      <c r="Q2643" s="1">
        <f>P2643*1400</f>
        <v>0</v>
      </c>
      <c r="R2643" s="1">
        <v>528</v>
      </c>
      <c r="S2643" s="1">
        <f>R2643*3751</f>
        <v>1980528</v>
      </c>
      <c r="T2643" s="1">
        <v>0</v>
      </c>
      <c r="U2643" s="1">
        <v>50000</v>
      </c>
      <c r="V2643" s="1">
        <v>0</v>
      </c>
      <c r="W2643" s="1">
        <v>0</v>
      </c>
      <c r="X2643" s="1">
        <v>0</v>
      </c>
      <c r="Y2643" s="1">
        <v>0</v>
      </c>
      <c r="Z2643" s="1">
        <v>0</v>
      </c>
      <c r="AA2643" s="1">
        <v>0</v>
      </c>
      <c r="AB2643" s="1">
        <v>0</v>
      </c>
      <c r="AC2643" s="1">
        <v>0</v>
      </c>
      <c r="AD2643" s="1">
        <v>0</v>
      </c>
    </row>
    <row r="2644" spans="1:30" s="20" customFormat="1" ht="36" customHeight="1" x14ac:dyDescent="0.25">
      <c r="A2644" s="2">
        <f t="shared" si="1455"/>
        <v>2560</v>
      </c>
      <c r="B2644" s="6">
        <f>A2644</f>
        <v>2560</v>
      </c>
      <c r="C2644" s="19" t="s">
        <v>2182</v>
      </c>
      <c r="D2644" s="4">
        <f t="shared" si="1450"/>
        <v>7680631</v>
      </c>
      <c r="E2644" s="1">
        <f>SUM(F2644:K2644)</f>
        <v>2575585</v>
      </c>
      <c r="F2644" s="1">
        <f>804*656.2</f>
        <v>527584.80000000005</v>
      </c>
      <c r="G2644" s="1">
        <f>1693*656.2</f>
        <v>1110946.6000000001</v>
      </c>
      <c r="H2644" s="1">
        <f>390*656.2</f>
        <v>255918.00000000003</v>
      </c>
      <c r="I2644" s="1">
        <f>571*656.2</f>
        <v>374690.2</v>
      </c>
      <c r="J2644" s="1">
        <f>467*656.2</f>
        <v>306445.40000000002</v>
      </c>
      <c r="K2644" s="1">
        <v>0</v>
      </c>
      <c r="L2644" s="2">
        <v>0</v>
      </c>
      <c r="M2644" s="1">
        <v>0</v>
      </c>
      <c r="N2644" s="1">
        <v>388</v>
      </c>
      <c r="O2644" s="1">
        <f>N2644*7750</f>
        <v>3007000</v>
      </c>
      <c r="P2644" s="1">
        <v>0</v>
      </c>
      <c r="Q2644" s="1">
        <f>P2644*1400</f>
        <v>0</v>
      </c>
      <c r="R2644" s="1">
        <v>546</v>
      </c>
      <c r="S2644" s="1">
        <f>R2644*3751</f>
        <v>2048046</v>
      </c>
      <c r="T2644" s="1">
        <v>0</v>
      </c>
      <c r="U2644" s="1">
        <v>50000</v>
      </c>
      <c r="V2644" s="1">
        <v>0</v>
      </c>
      <c r="W2644" s="1">
        <v>0</v>
      </c>
      <c r="X2644" s="1">
        <v>0</v>
      </c>
      <c r="Y2644" s="1">
        <v>0</v>
      </c>
      <c r="Z2644" s="1">
        <v>0</v>
      </c>
      <c r="AA2644" s="1">
        <v>0</v>
      </c>
      <c r="AB2644" s="1">
        <v>0</v>
      </c>
      <c r="AC2644" s="1">
        <v>0</v>
      </c>
      <c r="AD2644" s="1">
        <v>0</v>
      </c>
    </row>
    <row r="2645" spans="1:30" s="20" customFormat="1" ht="36" customHeight="1" x14ac:dyDescent="0.25">
      <c r="A2645" s="2">
        <f t="shared" si="1455"/>
        <v>2561</v>
      </c>
      <c r="B2645" s="3">
        <f t="shared" si="1448"/>
        <v>2561</v>
      </c>
      <c r="C2645" s="19" t="s">
        <v>1549</v>
      </c>
      <c r="D2645" s="4">
        <f t="shared" si="1450"/>
        <v>9187029.5999999996</v>
      </c>
      <c r="E2645" s="1">
        <f t="shared" si="1451"/>
        <v>1131189.6000000001</v>
      </c>
      <c r="F2645" s="1">
        <f>804*889.3</f>
        <v>714997.2</v>
      </c>
      <c r="G2645" s="1">
        <v>0</v>
      </c>
      <c r="H2645" s="1">
        <v>889.3</v>
      </c>
      <c r="I2645" s="1">
        <v>0</v>
      </c>
      <c r="J2645" s="1">
        <f>467*889.3</f>
        <v>415303.1</v>
      </c>
      <c r="K2645" s="1">
        <v>0</v>
      </c>
      <c r="L2645" s="2">
        <v>0</v>
      </c>
      <c r="M2645" s="1">
        <v>0</v>
      </c>
      <c r="N2645" s="1">
        <v>620</v>
      </c>
      <c r="O2645" s="1">
        <f t="shared" si="1460"/>
        <v>4805000</v>
      </c>
      <c r="P2645" s="1">
        <v>0</v>
      </c>
      <c r="Q2645" s="1">
        <f t="shared" si="1453"/>
        <v>0</v>
      </c>
      <c r="R2645" s="1">
        <v>840</v>
      </c>
      <c r="S2645" s="1">
        <f t="shared" si="1454"/>
        <v>3150840</v>
      </c>
      <c r="T2645" s="1">
        <v>0</v>
      </c>
      <c r="U2645" s="1">
        <v>50000</v>
      </c>
      <c r="V2645" s="1">
        <v>0</v>
      </c>
      <c r="W2645" s="1">
        <v>50000</v>
      </c>
      <c r="X2645" s="1">
        <v>0</v>
      </c>
      <c r="Y2645" s="1">
        <v>0</v>
      </c>
      <c r="Z2645" s="1">
        <v>0</v>
      </c>
      <c r="AA2645" s="1">
        <v>0</v>
      </c>
      <c r="AB2645" s="1">
        <v>0</v>
      </c>
      <c r="AC2645" s="1">
        <v>0</v>
      </c>
      <c r="AD2645" s="1">
        <v>0</v>
      </c>
    </row>
    <row r="2646" spans="1:30" s="20" customFormat="1" ht="36" customHeight="1" x14ac:dyDescent="0.25">
      <c r="A2646" s="2">
        <f t="shared" si="1455"/>
        <v>2562</v>
      </c>
      <c r="B2646" s="3">
        <f t="shared" si="1448"/>
        <v>2562</v>
      </c>
      <c r="C2646" s="19" t="s">
        <v>1550</v>
      </c>
      <c r="D2646" s="4">
        <f t="shared" si="1450"/>
        <v>13297774.640000001</v>
      </c>
      <c r="E2646" s="1">
        <f t="shared" si="1451"/>
        <v>7196174.6399999997</v>
      </c>
      <c r="F2646" s="1">
        <f>804*5657.37</f>
        <v>4548525.4799999995</v>
      </c>
      <c r="G2646" s="1">
        <v>0</v>
      </c>
      <c r="H2646" s="1">
        <v>5657.37</v>
      </c>
      <c r="I2646" s="1">
        <v>0</v>
      </c>
      <c r="J2646" s="1">
        <f>467*5657.37</f>
        <v>2641991.79</v>
      </c>
      <c r="K2646" s="1">
        <v>0</v>
      </c>
      <c r="L2646" s="2">
        <v>0</v>
      </c>
      <c r="M2646" s="1">
        <v>0</v>
      </c>
      <c r="N2646" s="1">
        <v>0</v>
      </c>
      <c r="O2646" s="1">
        <v>0</v>
      </c>
      <c r="P2646" s="1">
        <v>0</v>
      </c>
      <c r="Q2646" s="1">
        <f t="shared" si="1453"/>
        <v>0</v>
      </c>
      <c r="R2646" s="1">
        <v>1600</v>
      </c>
      <c r="S2646" s="1">
        <f t="shared" si="1454"/>
        <v>6001600</v>
      </c>
      <c r="T2646" s="1">
        <v>0</v>
      </c>
      <c r="U2646" s="1">
        <v>50000</v>
      </c>
      <c r="V2646" s="1">
        <v>0</v>
      </c>
      <c r="W2646" s="1">
        <v>50000</v>
      </c>
      <c r="X2646" s="1">
        <v>0</v>
      </c>
      <c r="Y2646" s="1">
        <v>0</v>
      </c>
      <c r="Z2646" s="1">
        <v>0</v>
      </c>
      <c r="AA2646" s="1">
        <v>0</v>
      </c>
      <c r="AB2646" s="1">
        <v>0</v>
      </c>
      <c r="AC2646" s="1">
        <v>0</v>
      </c>
      <c r="AD2646" s="1">
        <v>0</v>
      </c>
    </row>
    <row r="2647" spans="1:30" s="20" customFormat="1" ht="36" customHeight="1" x14ac:dyDescent="0.25">
      <c r="A2647" s="2">
        <f t="shared" si="1455"/>
        <v>2563</v>
      </c>
      <c r="B2647" s="6">
        <f>A2647</f>
        <v>2563</v>
      </c>
      <c r="C2647" s="19" t="s">
        <v>2183</v>
      </c>
      <c r="D2647" s="4">
        <f t="shared" si="1450"/>
        <v>6326169</v>
      </c>
      <c r="E2647" s="1">
        <f>SUM(F2647:K2647)</f>
        <v>4010564.9999999995</v>
      </c>
      <c r="F2647" s="1">
        <f>804*1021.8</f>
        <v>821527.2</v>
      </c>
      <c r="G2647" s="1">
        <f>1693*1021.8</f>
        <v>1729907.4</v>
      </c>
      <c r="H2647" s="1">
        <f>390*1021.8</f>
        <v>398502</v>
      </c>
      <c r="I2647" s="1">
        <f>571*1021.8</f>
        <v>583447.79999999993</v>
      </c>
      <c r="J2647" s="1">
        <f>467*1021.8</f>
        <v>477180.6</v>
      </c>
      <c r="K2647" s="1">
        <v>0</v>
      </c>
      <c r="L2647" s="2">
        <v>0</v>
      </c>
      <c r="M2647" s="1">
        <v>0</v>
      </c>
      <c r="N2647" s="1">
        <v>0</v>
      </c>
      <c r="O2647" s="1">
        <v>0</v>
      </c>
      <c r="P2647" s="1">
        <v>0</v>
      </c>
      <c r="Q2647" s="1">
        <f>P2647*1400</f>
        <v>0</v>
      </c>
      <c r="R2647" s="1">
        <v>604</v>
      </c>
      <c r="S2647" s="1">
        <f>R2647*3751</f>
        <v>2265604</v>
      </c>
      <c r="T2647" s="1">
        <v>0</v>
      </c>
      <c r="U2647" s="1">
        <v>50000</v>
      </c>
      <c r="V2647" s="1">
        <v>0</v>
      </c>
      <c r="W2647" s="1">
        <v>0</v>
      </c>
      <c r="X2647" s="1">
        <v>0</v>
      </c>
      <c r="Y2647" s="1">
        <v>0</v>
      </c>
      <c r="Z2647" s="1">
        <v>0</v>
      </c>
      <c r="AA2647" s="1">
        <v>0</v>
      </c>
      <c r="AB2647" s="1">
        <v>0</v>
      </c>
      <c r="AC2647" s="1">
        <v>0</v>
      </c>
      <c r="AD2647" s="1">
        <v>0</v>
      </c>
    </row>
    <row r="2648" spans="1:30" s="20" customFormat="1" ht="36" customHeight="1" x14ac:dyDescent="0.25">
      <c r="A2648" s="2">
        <f t="shared" si="1455"/>
        <v>2564</v>
      </c>
      <c r="B2648" s="6">
        <f>A2648</f>
        <v>2564</v>
      </c>
      <c r="C2648" s="19" t="s">
        <v>2184</v>
      </c>
      <c r="D2648" s="4">
        <f t="shared" si="1450"/>
        <v>6325384</v>
      </c>
      <c r="E2648" s="1">
        <f>SUM(F2648:K2648)</f>
        <v>4009780.0000000005</v>
      </c>
      <c r="F2648" s="1">
        <f>804*1021.6</f>
        <v>821366.4</v>
      </c>
      <c r="G2648" s="1">
        <f>1693*1021.6</f>
        <v>1729568.8</v>
      </c>
      <c r="H2648" s="1">
        <f>390*1021.6</f>
        <v>398424</v>
      </c>
      <c r="I2648" s="1">
        <f>571*1021.6</f>
        <v>583333.6</v>
      </c>
      <c r="J2648" s="1">
        <f>467*1021.6</f>
        <v>477087.2</v>
      </c>
      <c r="K2648" s="1">
        <v>0</v>
      </c>
      <c r="L2648" s="2">
        <v>0</v>
      </c>
      <c r="M2648" s="1">
        <v>0</v>
      </c>
      <c r="N2648" s="1">
        <v>0</v>
      </c>
      <c r="O2648" s="1">
        <v>0</v>
      </c>
      <c r="P2648" s="1">
        <v>0</v>
      </c>
      <c r="Q2648" s="1">
        <f>P2648*1400</f>
        <v>0</v>
      </c>
      <c r="R2648" s="1">
        <v>604</v>
      </c>
      <c r="S2648" s="1">
        <f>R2648*3751</f>
        <v>2265604</v>
      </c>
      <c r="T2648" s="1">
        <v>0</v>
      </c>
      <c r="U2648" s="1">
        <v>50000</v>
      </c>
      <c r="V2648" s="1">
        <v>0</v>
      </c>
      <c r="W2648" s="1">
        <v>0</v>
      </c>
      <c r="X2648" s="1">
        <v>0</v>
      </c>
      <c r="Y2648" s="1">
        <v>0</v>
      </c>
      <c r="Z2648" s="1">
        <v>0</v>
      </c>
      <c r="AA2648" s="1">
        <v>0</v>
      </c>
      <c r="AB2648" s="1">
        <v>0</v>
      </c>
      <c r="AC2648" s="1">
        <v>0</v>
      </c>
      <c r="AD2648" s="1">
        <v>0</v>
      </c>
    </row>
    <row r="2649" spans="1:30" s="20" customFormat="1" ht="36" customHeight="1" x14ac:dyDescent="0.25">
      <c r="A2649" s="2">
        <f t="shared" si="1455"/>
        <v>2565</v>
      </c>
      <c r="B2649" s="3">
        <f t="shared" si="1448"/>
        <v>2565</v>
      </c>
      <c r="C2649" s="19" t="s">
        <v>1551</v>
      </c>
      <c r="D2649" s="4">
        <f t="shared" ref="D2649:D2667" si="1461">E2649+M2649+O2649+Q2649+S2649+T2649+U2649+V2649+W2649+X2649+Z2649+AA2649+AB2649+AC2649+AD2649</f>
        <v>2372252.08</v>
      </c>
      <c r="E2649" s="1">
        <f t="shared" si="1451"/>
        <v>471772.08</v>
      </c>
      <c r="F2649" s="1">
        <f>804*370.89</f>
        <v>298195.56</v>
      </c>
      <c r="G2649" s="1">
        <v>0</v>
      </c>
      <c r="H2649" s="1">
        <v>370.89</v>
      </c>
      <c r="I2649" s="1">
        <v>0</v>
      </c>
      <c r="J2649" s="1">
        <f>467*370.89</f>
        <v>173205.63</v>
      </c>
      <c r="K2649" s="1">
        <v>0</v>
      </c>
      <c r="L2649" s="2">
        <v>0</v>
      </c>
      <c r="M2649" s="1">
        <v>0</v>
      </c>
      <c r="N2649" s="1">
        <v>0</v>
      </c>
      <c r="O2649" s="1">
        <v>0</v>
      </c>
      <c r="P2649" s="1">
        <v>0</v>
      </c>
      <c r="Q2649" s="1">
        <f t="shared" si="1453"/>
        <v>0</v>
      </c>
      <c r="R2649" s="1">
        <v>480</v>
      </c>
      <c r="S2649" s="1">
        <f t="shared" si="1454"/>
        <v>1800480</v>
      </c>
      <c r="T2649" s="1">
        <v>0</v>
      </c>
      <c r="U2649" s="1">
        <v>50000</v>
      </c>
      <c r="V2649" s="1">
        <v>0</v>
      </c>
      <c r="W2649" s="1">
        <v>50000</v>
      </c>
      <c r="X2649" s="1">
        <v>0</v>
      </c>
      <c r="Y2649" s="1">
        <v>0</v>
      </c>
      <c r="Z2649" s="1">
        <v>0</v>
      </c>
      <c r="AA2649" s="1">
        <v>0</v>
      </c>
      <c r="AB2649" s="1">
        <v>0</v>
      </c>
      <c r="AC2649" s="1">
        <v>0</v>
      </c>
      <c r="AD2649" s="1">
        <v>0</v>
      </c>
    </row>
    <row r="2650" spans="1:30" s="20" customFormat="1" ht="36" customHeight="1" x14ac:dyDescent="0.25">
      <c r="A2650" s="2">
        <f t="shared" si="1455"/>
        <v>2566</v>
      </c>
      <c r="B2650" s="3">
        <f t="shared" si="1448"/>
        <v>2566</v>
      </c>
      <c r="C2650" s="19" t="s">
        <v>1552</v>
      </c>
      <c r="D2650" s="4">
        <f t="shared" si="1461"/>
        <v>3791397</v>
      </c>
      <c r="E2650" s="1">
        <f t="shared" si="1451"/>
        <v>367608</v>
      </c>
      <c r="F2650" s="1">
        <f>804*289</f>
        <v>232356</v>
      </c>
      <c r="G2650" s="1">
        <v>0</v>
      </c>
      <c r="H2650" s="1">
        <v>289</v>
      </c>
      <c r="I2650" s="1">
        <v>0</v>
      </c>
      <c r="J2650" s="1">
        <f>467*289</f>
        <v>134963</v>
      </c>
      <c r="K2650" s="1">
        <v>0</v>
      </c>
      <c r="L2650" s="2">
        <v>0</v>
      </c>
      <c r="M2650" s="1">
        <v>0</v>
      </c>
      <c r="N2650" s="1">
        <v>289</v>
      </c>
      <c r="O2650" s="1">
        <f>N2650*7750</f>
        <v>2239750</v>
      </c>
      <c r="P2650" s="1">
        <v>0</v>
      </c>
      <c r="Q2650" s="1">
        <f t="shared" si="1453"/>
        <v>0</v>
      </c>
      <c r="R2650" s="1">
        <v>289</v>
      </c>
      <c r="S2650" s="1">
        <f t="shared" si="1454"/>
        <v>1084039</v>
      </c>
      <c r="T2650" s="1">
        <v>0</v>
      </c>
      <c r="U2650" s="1">
        <v>50000</v>
      </c>
      <c r="V2650" s="1">
        <v>0</v>
      </c>
      <c r="W2650" s="1">
        <v>50000</v>
      </c>
      <c r="X2650" s="1">
        <v>0</v>
      </c>
      <c r="Y2650" s="1">
        <v>0</v>
      </c>
      <c r="Z2650" s="1">
        <v>0</v>
      </c>
      <c r="AA2650" s="1">
        <v>0</v>
      </c>
      <c r="AB2650" s="1">
        <v>0</v>
      </c>
      <c r="AC2650" s="1">
        <v>0</v>
      </c>
      <c r="AD2650" s="1">
        <v>0</v>
      </c>
    </row>
    <row r="2651" spans="1:30" s="20" customFormat="1" ht="36" customHeight="1" x14ac:dyDescent="0.25">
      <c r="A2651" s="2">
        <f t="shared" si="1455"/>
        <v>2567</v>
      </c>
      <c r="B2651" s="3">
        <f t="shared" si="1448"/>
        <v>2567</v>
      </c>
      <c r="C2651" s="19" t="s">
        <v>1553</v>
      </c>
      <c r="D2651" s="4">
        <f t="shared" si="1461"/>
        <v>13586990.399999999</v>
      </c>
      <c r="E2651" s="1">
        <f t="shared" si="1451"/>
        <v>3231134.3999999994</v>
      </c>
      <c r="F2651" s="1">
        <f>804*2540.2</f>
        <v>2042320.7999999998</v>
      </c>
      <c r="G2651" s="1">
        <v>0</v>
      </c>
      <c r="H2651" s="1">
        <v>2540.1999999999998</v>
      </c>
      <c r="I2651" s="1">
        <v>0</v>
      </c>
      <c r="J2651" s="1">
        <f>467*2540.2</f>
        <v>1186273.3999999999</v>
      </c>
      <c r="K2651" s="1">
        <v>0</v>
      </c>
      <c r="L2651" s="2">
        <v>0</v>
      </c>
      <c r="M2651" s="1">
        <v>0</v>
      </c>
      <c r="N2651" s="1">
        <v>900</v>
      </c>
      <c r="O2651" s="1">
        <f>N2651*7750</f>
        <v>6975000</v>
      </c>
      <c r="P2651" s="1">
        <v>50</v>
      </c>
      <c r="Q2651" s="1">
        <f t="shared" si="1453"/>
        <v>70000</v>
      </c>
      <c r="R2651" s="1">
        <v>856</v>
      </c>
      <c r="S2651" s="1">
        <f t="shared" si="1454"/>
        <v>3210856</v>
      </c>
      <c r="T2651" s="1">
        <v>0</v>
      </c>
      <c r="U2651" s="1">
        <v>50000</v>
      </c>
      <c r="V2651" s="1">
        <v>0</v>
      </c>
      <c r="W2651" s="1">
        <v>50000</v>
      </c>
      <c r="X2651" s="1">
        <v>0</v>
      </c>
      <c r="Y2651" s="1">
        <v>0</v>
      </c>
      <c r="Z2651" s="1">
        <v>0</v>
      </c>
      <c r="AA2651" s="1">
        <v>0</v>
      </c>
      <c r="AB2651" s="1">
        <v>0</v>
      </c>
      <c r="AC2651" s="1">
        <v>0</v>
      </c>
      <c r="AD2651" s="1">
        <v>0</v>
      </c>
    </row>
    <row r="2652" spans="1:30" s="20" customFormat="1" ht="36" customHeight="1" x14ac:dyDescent="0.25">
      <c r="A2652" s="2">
        <f t="shared" si="1455"/>
        <v>2568</v>
      </c>
      <c r="B2652" s="3">
        <f t="shared" si="1448"/>
        <v>2568</v>
      </c>
      <c r="C2652" s="19" t="s">
        <v>1554</v>
      </c>
      <c r="D2652" s="4">
        <f t="shared" si="1461"/>
        <v>6395045.7999999998</v>
      </c>
      <c r="E2652" s="1">
        <f t="shared" si="1451"/>
        <v>950056.8</v>
      </c>
      <c r="F2652" s="1">
        <f>804*746.9</f>
        <v>600507.6</v>
      </c>
      <c r="G2652" s="1">
        <v>0</v>
      </c>
      <c r="H2652" s="1">
        <v>746.9</v>
      </c>
      <c r="I2652" s="1">
        <v>0</v>
      </c>
      <c r="J2652" s="1">
        <f>467*746.9</f>
        <v>348802.3</v>
      </c>
      <c r="K2652" s="1">
        <v>0</v>
      </c>
      <c r="L2652" s="2">
        <v>0</v>
      </c>
      <c r="M2652" s="1">
        <v>0</v>
      </c>
      <c r="N2652" s="1">
        <v>453</v>
      </c>
      <c r="O2652" s="1">
        <f>N2652*7750</f>
        <v>3510750</v>
      </c>
      <c r="P2652" s="1">
        <v>0</v>
      </c>
      <c r="Q2652" s="1">
        <f t="shared" si="1453"/>
        <v>0</v>
      </c>
      <c r="R2652" s="1">
        <v>489</v>
      </c>
      <c r="S2652" s="1">
        <f t="shared" si="1454"/>
        <v>1834239</v>
      </c>
      <c r="T2652" s="1">
        <v>0</v>
      </c>
      <c r="U2652" s="1">
        <v>50000</v>
      </c>
      <c r="V2652" s="1">
        <v>0</v>
      </c>
      <c r="W2652" s="1">
        <v>50000</v>
      </c>
      <c r="X2652" s="1">
        <v>0</v>
      </c>
      <c r="Y2652" s="1">
        <v>0</v>
      </c>
      <c r="Z2652" s="1">
        <v>0</v>
      </c>
      <c r="AA2652" s="1">
        <v>0</v>
      </c>
      <c r="AB2652" s="1">
        <v>0</v>
      </c>
      <c r="AC2652" s="1">
        <v>0</v>
      </c>
      <c r="AD2652" s="1">
        <v>0</v>
      </c>
    </row>
    <row r="2653" spans="1:30" s="20" customFormat="1" ht="36" customHeight="1" x14ac:dyDescent="0.25">
      <c r="A2653" s="2">
        <f t="shared" si="1455"/>
        <v>2569</v>
      </c>
      <c r="B2653" s="3">
        <f t="shared" si="1448"/>
        <v>2569</v>
      </c>
      <c r="C2653" s="19" t="s">
        <v>1555</v>
      </c>
      <c r="D2653" s="4">
        <f t="shared" si="1461"/>
        <v>1993671</v>
      </c>
      <c r="E2653" s="1">
        <f t="shared" si="1451"/>
        <v>479544</v>
      </c>
      <c r="F2653" s="1">
        <f>804*377</f>
        <v>303108</v>
      </c>
      <c r="G2653" s="1">
        <v>0</v>
      </c>
      <c r="H2653" s="1">
        <v>377</v>
      </c>
      <c r="I2653" s="1">
        <v>0</v>
      </c>
      <c r="J2653" s="1">
        <f>467*377</f>
        <v>176059</v>
      </c>
      <c r="K2653" s="1">
        <v>0</v>
      </c>
      <c r="L2653" s="2">
        <v>0</v>
      </c>
      <c r="M2653" s="1">
        <v>0</v>
      </c>
      <c r="N2653" s="1">
        <v>0</v>
      </c>
      <c r="O2653" s="1">
        <v>0</v>
      </c>
      <c r="P2653" s="1">
        <v>0</v>
      </c>
      <c r="Q2653" s="1">
        <f t="shared" si="1453"/>
        <v>0</v>
      </c>
      <c r="R2653" s="1">
        <v>377</v>
      </c>
      <c r="S2653" s="1">
        <f t="shared" si="1454"/>
        <v>1414127</v>
      </c>
      <c r="T2653" s="1">
        <v>0</v>
      </c>
      <c r="U2653" s="1">
        <v>50000</v>
      </c>
      <c r="V2653" s="1">
        <v>0</v>
      </c>
      <c r="W2653" s="1">
        <v>50000</v>
      </c>
      <c r="X2653" s="1">
        <v>0</v>
      </c>
      <c r="Y2653" s="1">
        <v>0</v>
      </c>
      <c r="Z2653" s="1">
        <v>0</v>
      </c>
      <c r="AA2653" s="1">
        <v>0</v>
      </c>
      <c r="AB2653" s="1">
        <v>0</v>
      </c>
      <c r="AC2653" s="1">
        <v>0</v>
      </c>
      <c r="AD2653" s="1">
        <v>0</v>
      </c>
    </row>
    <row r="2654" spans="1:30" s="20" customFormat="1" ht="36" customHeight="1" x14ac:dyDescent="0.25">
      <c r="A2654" s="2">
        <f t="shared" si="1455"/>
        <v>2570</v>
      </c>
      <c r="B2654" s="6">
        <f t="shared" si="1448"/>
        <v>2570</v>
      </c>
      <c r="C2654" s="19" t="s">
        <v>1100</v>
      </c>
      <c r="D2654" s="4">
        <f t="shared" si="1461"/>
        <v>212864</v>
      </c>
      <c r="E2654" s="1">
        <f t="shared" si="1451"/>
        <v>162864</v>
      </c>
      <c r="F2654" s="1">
        <v>0</v>
      </c>
      <c r="G2654" s="1">
        <v>0</v>
      </c>
      <c r="H2654" s="1">
        <f>390*417.6</f>
        <v>162864</v>
      </c>
      <c r="I2654" s="1">
        <v>0</v>
      </c>
      <c r="J2654" s="1">
        <v>0</v>
      </c>
      <c r="K2654" s="1">
        <v>0</v>
      </c>
      <c r="L2654" s="2">
        <v>0</v>
      </c>
      <c r="M2654" s="1">
        <v>0</v>
      </c>
      <c r="N2654" s="1">
        <v>0</v>
      </c>
      <c r="O2654" s="1">
        <v>0</v>
      </c>
      <c r="P2654" s="1">
        <v>0</v>
      </c>
      <c r="Q2654" s="1">
        <f t="shared" si="1453"/>
        <v>0</v>
      </c>
      <c r="R2654" s="1">
        <v>0</v>
      </c>
      <c r="S2654" s="1">
        <f t="shared" si="1454"/>
        <v>0</v>
      </c>
      <c r="T2654" s="1">
        <v>0</v>
      </c>
      <c r="U2654" s="1">
        <v>50000</v>
      </c>
      <c r="V2654" s="1">
        <v>0</v>
      </c>
      <c r="W2654" s="1">
        <v>0</v>
      </c>
      <c r="X2654" s="1">
        <v>0</v>
      </c>
      <c r="Y2654" s="1">
        <v>0</v>
      </c>
      <c r="Z2654" s="1">
        <v>0</v>
      </c>
      <c r="AA2654" s="1">
        <v>0</v>
      </c>
      <c r="AB2654" s="1">
        <v>0</v>
      </c>
      <c r="AC2654" s="1">
        <v>0</v>
      </c>
      <c r="AD2654" s="1">
        <v>0</v>
      </c>
    </row>
    <row r="2655" spans="1:30" s="20" customFormat="1" ht="36" customHeight="1" x14ac:dyDescent="0.25">
      <c r="A2655" s="2">
        <f t="shared" si="1455"/>
        <v>2571</v>
      </c>
      <c r="B2655" s="6">
        <f t="shared" si="1448"/>
        <v>2571</v>
      </c>
      <c r="C2655" s="19" t="s">
        <v>2174</v>
      </c>
      <c r="D2655" s="4">
        <f t="shared" si="1461"/>
        <v>2415576.1999999997</v>
      </c>
      <c r="E2655" s="1">
        <f t="shared" ref="E2655:E2656" si="1462">SUM(F2655:J2655)</f>
        <v>2365576.1999999997</v>
      </c>
      <c r="F2655" s="1">
        <f>804*705.3</f>
        <v>567061.19999999995</v>
      </c>
      <c r="G2655" s="1">
        <f>1693*705.3</f>
        <v>1194072.8999999999</v>
      </c>
      <c r="H2655" s="1">
        <f>390*705.3</f>
        <v>275067</v>
      </c>
      <c r="I2655" s="1">
        <v>0</v>
      </c>
      <c r="J2655" s="1">
        <f>467*705.3</f>
        <v>329375.09999999998</v>
      </c>
      <c r="K2655" s="1">
        <v>0</v>
      </c>
      <c r="L2655" s="2">
        <v>0</v>
      </c>
      <c r="M2655" s="1">
        <v>0</v>
      </c>
      <c r="N2655" s="1">
        <v>0</v>
      </c>
      <c r="O2655" s="1">
        <v>0</v>
      </c>
      <c r="P2655" s="1">
        <v>0</v>
      </c>
      <c r="Q2655" s="1">
        <f t="shared" si="1453"/>
        <v>0</v>
      </c>
      <c r="R2655" s="1">
        <v>0</v>
      </c>
      <c r="S2655" s="1">
        <f t="shared" si="1454"/>
        <v>0</v>
      </c>
      <c r="T2655" s="1">
        <v>0</v>
      </c>
      <c r="U2655" s="1">
        <v>50000</v>
      </c>
      <c r="V2655" s="1">
        <v>0</v>
      </c>
      <c r="W2655" s="1">
        <v>0</v>
      </c>
      <c r="X2655" s="1">
        <v>0</v>
      </c>
      <c r="Y2655" s="1">
        <v>0</v>
      </c>
      <c r="Z2655" s="1">
        <v>0</v>
      </c>
      <c r="AA2655" s="1">
        <v>0</v>
      </c>
      <c r="AB2655" s="1">
        <v>0</v>
      </c>
      <c r="AC2655" s="1">
        <v>0</v>
      </c>
      <c r="AD2655" s="1">
        <v>0</v>
      </c>
    </row>
    <row r="2656" spans="1:30" s="20" customFormat="1" ht="36" customHeight="1" x14ac:dyDescent="0.25">
      <c r="A2656" s="2">
        <f t="shared" si="1455"/>
        <v>2572</v>
      </c>
      <c r="B2656" s="6">
        <f t="shared" si="1448"/>
        <v>2572</v>
      </c>
      <c r="C2656" s="19" t="s">
        <v>2175</v>
      </c>
      <c r="D2656" s="4">
        <f t="shared" si="1461"/>
        <v>1331898.7999999998</v>
      </c>
      <c r="E2656" s="1">
        <f t="shared" si="1462"/>
        <v>1281898.7999999998</v>
      </c>
      <c r="F2656" s="1">
        <f>804*382.2</f>
        <v>307288.8</v>
      </c>
      <c r="G2656" s="1">
        <f>1693*382.2</f>
        <v>647064.6</v>
      </c>
      <c r="H2656" s="1">
        <f>390*382.2</f>
        <v>149058</v>
      </c>
      <c r="I2656" s="1">
        <v>0</v>
      </c>
      <c r="J2656" s="1">
        <f>467*382.2</f>
        <v>178487.4</v>
      </c>
      <c r="K2656" s="1">
        <v>0</v>
      </c>
      <c r="L2656" s="2">
        <v>0</v>
      </c>
      <c r="M2656" s="1">
        <v>0</v>
      </c>
      <c r="N2656" s="1">
        <v>0</v>
      </c>
      <c r="O2656" s="1">
        <v>0</v>
      </c>
      <c r="P2656" s="1">
        <v>0</v>
      </c>
      <c r="Q2656" s="1">
        <f t="shared" si="1453"/>
        <v>0</v>
      </c>
      <c r="R2656" s="1">
        <v>0</v>
      </c>
      <c r="S2656" s="1">
        <f t="shared" si="1454"/>
        <v>0</v>
      </c>
      <c r="T2656" s="1">
        <v>0</v>
      </c>
      <c r="U2656" s="1">
        <v>50000</v>
      </c>
      <c r="V2656" s="1">
        <v>0</v>
      </c>
      <c r="W2656" s="1">
        <v>0</v>
      </c>
      <c r="X2656" s="1">
        <v>0</v>
      </c>
      <c r="Y2656" s="1">
        <v>0</v>
      </c>
      <c r="Z2656" s="1">
        <v>0</v>
      </c>
      <c r="AA2656" s="1">
        <v>0</v>
      </c>
      <c r="AB2656" s="1">
        <v>0</v>
      </c>
      <c r="AC2656" s="1">
        <v>0</v>
      </c>
      <c r="AD2656" s="1">
        <v>0</v>
      </c>
    </row>
    <row r="2657" spans="1:30" s="20" customFormat="1" ht="36" customHeight="1" x14ac:dyDescent="0.25">
      <c r="A2657" s="2">
        <f t="shared" si="1455"/>
        <v>2573</v>
      </c>
      <c r="B2657" s="3">
        <f t="shared" ref="B2657" si="1463">A2657</f>
        <v>2573</v>
      </c>
      <c r="C2657" s="19" t="s">
        <v>1556</v>
      </c>
      <c r="D2657" s="4">
        <f t="shared" si="1461"/>
        <v>10915650.5</v>
      </c>
      <c r="E2657" s="1">
        <f t="shared" ref="E2657" si="1464">SUM(F2657:K2657)</f>
        <v>2208035.5</v>
      </c>
      <c r="F2657" s="1">
        <f>804*744.7</f>
        <v>598738.80000000005</v>
      </c>
      <c r="G2657" s="1">
        <f>1693*744.7</f>
        <v>1260777.1000000001</v>
      </c>
      <c r="H2657" s="1">
        <v>744.7</v>
      </c>
      <c r="I2657" s="1">
        <v>0</v>
      </c>
      <c r="J2657" s="1">
        <f>467*744.7</f>
        <v>347774.9</v>
      </c>
      <c r="K2657" s="1">
        <v>0</v>
      </c>
      <c r="L2657" s="2">
        <v>0</v>
      </c>
      <c r="M2657" s="1">
        <v>0</v>
      </c>
      <c r="N2657" s="1">
        <v>813</v>
      </c>
      <c r="O2657" s="1">
        <f>N2657*7750</f>
        <v>6300750</v>
      </c>
      <c r="P2657" s="1">
        <v>0</v>
      </c>
      <c r="Q2657" s="1">
        <f t="shared" ref="Q2657" si="1465">P2657*1400</f>
        <v>0</v>
      </c>
      <c r="R2657" s="1">
        <v>615</v>
      </c>
      <c r="S2657" s="1">
        <f t="shared" ref="S2657" si="1466">R2657*3751</f>
        <v>2306865</v>
      </c>
      <c r="T2657" s="1">
        <v>0</v>
      </c>
      <c r="U2657" s="1">
        <v>50000</v>
      </c>
      <c r="V2657" s="1">
        <v>0</v>
      </c>
      <c r="W2657" s="1">
        <v>50000</v>
      </c>
      <c r="X2657" s="1">
        <v>0</v>
      </c>
      <c r="Y2657" s="1">
        <v>0</v>
      </c>
      <c r="Z2657" s="1">
        <v>0</v>
      </c>
      <c r="AA2657" s="1">
        <v>0</v>
      </c>
      <c r="AB2657" s="1">
        <v>0</v>
      </c>
      <c r="AC2657" s="1">
        <v>0</v>
      </c>
      <c r="AD2657" s="1">
        <v>0</v>
      </c>
    </row>
    <row r="2658" spans="1:30" s="20" customFormat="1" ht="36" customHeight="1" x14ac:dyDescent="0.25">
      <c r="A2658" s="2">
        <f t="shared" si="1455"/>
        <v>2574</v>
      </c>
      <c r="B2658" s="3">
        <f t="shared" si="1448"/>
        <v>2574</v>
      </c>
      <c r="C2658" s="19" t="s">
        <v>2177</v>
      </c>
      <c r="D2658" s="4">
        <f t="shared" si="1461"/>
        <v>2215728</v>
      </c>
      <c r="E2658" s="1">
        <f t="shared" si="1451"/>
        <v>0</v>
      </c>
      <c r="F2658" s="1">
        <v>0</v>
      </c>
      <c r="G2658" s="1">
        <v>0</v>
      </c>
      <c r="H2658" s="1">
        <v>0</v>
      </c>
      <c r="I2658" s="1">
        <v>0</v>
      </c>
      <c r="J2658" s="1">
        <v>0</v>
      </c>
      <c r="K2658" s="1">
        <v>0</v>
      </c>
      <c r="L2658" s="2">
        <v>0</v>
      </c>
      <c r="M2658" s="1">
        <v>0</v>
      </c>
      <c r="N2658" s="1">
        <v>446</v>
      </c>
      <c r="O2658" s="1">
        <f>N2658*4968</f>
        <v>2215728</v>
      </c>
      <c r="P2658" s="1">
        <v>0</v>
      </c>
      <c r="Q2658" s="1">
        <f t="shared" si="1453"/>
        <v>0</v>
      </c>
      <c r="R2658" s="1">
        <v>0</v>
      </c>
      <c r="S2658" s="1">
        <f t="shared" si="1454"/>
        <v>0</v>
      </c>
      <c r="T2658" s="1">
        <v>0</v>
      </c>
      <c r="U2658" s="1">
        <v>0</v>
      </c>
      <c r="V2658" s="1">
        <v>0</v>
      </c>
      <c r="W2658" s="1">
        <v>0</v>
      </c>
      <c r="X2658" s="1">
        <v>0</v>
      </c>
      <c r="Y2658" s="1">
        <v>0</v>
      </c>
      <c r="Z2658" s="1">
        <v>0</v>
      </c>
      <c r="AA2658" s="1">
        <v>0</v>
      </c>
      <c r="AB2658" s="1">
        <v>0</v>
      </c>
      <c r="AC2658" s="1">
        <v>0</v>
      </c>
      <c r="AD2658" s="1">
        <v>0</v>
      </c>
    </row>
    <row r="2659" spans="1:30" s="20" customFormat="1" ht="36" customHeight="1" x14ac:dyDescent="0.25">
      <c r="A2659" s="2">
        <f t="shared" si="1455"/>
        <v>2575</v>
      </c>
      <c r="B2659" s="2">
        <f>A2659</f>
        <v>2575</v>
      </c>
      <c r="C2659" s="19" t="s">
        <v>1558</v>
      </c>
      <c r="D2659" s="39">
        <f t="shared" si="1461"/>
        <v>9387001</v>
      </c>
      <c r="E2659" s="1">
        <f>SUM(F2659:K2659)</f>
        <v>2436681</v>
      </c>
      <c r="F2659" s="1">
        <f>804*726.5</f>
        <v>584106</v>
      </c>
      <c r="G2659" s="1">
        <f>1693*726.5</f>
        <v>1229964.5</v>
      </c>
      <c r="H2659" s="1">
        <f>390*726.5</f>
        <v>283335</v>
      </c>
      <c r="I2659" s="1">
        <v>0</v>
      </c>
      <c r="J2659" s="1">
        <f>467*726.5</f>
        <v>339275.5</v>
      </c>
      <c r="K2659" s="1">
        <v>0</v>
      </c>
      <c r="L2659" s="2">
        <v>0</v>
      </c>
      <c r="M2659" s="1">
        <v>0</v>
      </c>
      <c r="N2659" s="1">
        <v>720</v>
      </c>
      <c r="O2659" s="1">
        <f>N2659*7750</f>
        <v>5580000</v>
      </c>
      <c r="P2659" s="1">
        <v>50</v>
      </c>
      <c r="Q2659" s="1">
        <f>P2659*1400</f>
        <v>70000</v>
      </c>
      <c r="R2659" s="1">
        <v>320</v>
      </c>
      <c r="S2659" s="1">
        <f>R2659*3751</f>
        <v>1200320</v>
      </c>
      <c r="T2659" s="1">
        <v>0</v>
      </c>
      <c r="U2659" s="1">
        <v>50000</v>
      </c>
      <c r="V2659" s="1">
        <v>0</v>
      </c>
      <c r="W2659" s="1">
        <v>50000</v>
      </c>
      <c r="X2659" s="1">
        <v>0</v>
      </c>
      <c r="Y2659" s="1">
        <v>0</v>
      </c>
      <c r="Z2659" s="1">
        <v>0</v>
      </c>
      <c r="AA2659" s="1">
        <v>0</v>
      </c>
      <c r="AB2659" s="1">
        <v>0</v>
      </c>
      <c r="AC2659" s="1">
        <v>0</v>
      </c>
      <c r="AD2659" s="1">
        <v>0</v>
      </c>
    </row>
    <row r="2660" spans="1:30" s="20" customFormat="1" ht="36" customHeight="1" x14ac:dyDescent="0.25">
      <c r="A2660" s="2">
        <f t="shared" si="1455"/>
        <v>2576</v>
      </c>
      <c r="B2660" s="2">
        <f>A2660</f>
        <v>2576</v>
      </c>
      <c r="C2660" s="19" t="s">
        <v>1559</v>
      </c>
      <c r="D2660" s="39">
        <f t="shared" si="1461"/>
        <v>7732718.5999999996</v>
      </c>
      <c r="E2660" s="1">
        <f>SUM(F2660:K2660)</f>
        <v>2417898.5999999996</v>
      </c>
      <c r="F2660" s="1">
        <f>804*720.9</f>
        <v>579603.6</v>
      </c>
      <c r="G2660" s="1">
        <f>1693*720.9</f>
        <v>1220483.7</v>
      </c>
      <c r="H2660" s="1">
        <f>390*720.9</f>
        <v>281151</v>
      </c>
      <c r="I2660" s="1">
        <v>0</v>
      </c>
      <c r="J2660" s="1">
        <f>467*720.9</f>
        <v>336660.3</v>
      </c>
      <c r="K2660" s="1">
        <v>0</v>
      </c>
      <c r="L2660" s="2">
        <v>0</v>
      </c>
      <c r="M2660" s="1">
        <v>0</v>
      </c>
      <c r="N2660" s="1">
        <v>518</v>
      </c>
      <c r="O2660" s="1">
        <f>N2660*7750</f>
        <v>4014500</v>
      </c>
      <c r="P2660" s="1">
        <v>0</v>
      </c>
      <c r="Q2660" s="1">
        <f>P2660*1400</f>
        <v>0</v>
      </c>
      <c r="R2660" s="1">
        <v>320</v>
      </c>
      <c r="S2660" s="1">
        <f>R2660*3751</f>
        <v>1200320</v>
      </c>
      <c r="T2660" s="1">
        <v>0</v>
      </c>
      <c r="U2660" s="1">
        <v>50000</v>
      </c>
      <c r="V2660" s="1">
        <v>0</v>
      </c>
      <c r="W2660" s="1">
        <v>50000</v>
      </c>
      <c r="X2660" s="1">
        <v>0</v>
      </c>
      <c r="Y2660" s="1">
        <v>0</v>
      </c>
      <c r="Z2660" s="1">
        <v>0</v>
      </c>
      <c r="AA2660" s="1">
        <v>0</v>
      </c>
      <c r="AB2660" s="1">
        <v>0</v>
      </c>
      <c r="AC2660" s="1">
        <v>0</v>
      </c>
      <c r="AD2660" s="1">
        <v>0</v>
      </c>
    </row>
    <row r="2661" spans="1:30" s="20" customFormat="1" ht="36" customHeight="1" x14ac:dyDescent="0.25">
      <c r="A2661" s="2">
        <f t="shared" si="1455"/>
        <v>2577</v>
      </c>
      <c r="B2661" s="6">
        <f t="shared" si="1448"/>
        <v>2577</v>
      </c>
      <c r="C2661" s="19" t="s">
        <v>2185</v>
      </c>
      <c r="D2661" s="4">
        <f t="shared" si="1461"/>
        <v>2334695</v>
      </c>
      <c r="E2661" s="1">
        <f t="shared" ref="E2661" si="1467">SUM(F2661:J2661)</f>
        <v>2334695</v>
      </c>
      <c r="F2661" s="1">
        <f>804*935</f>
        <v>751740</v>
      </c>
      <c r="G2661" s="1">
        <f>1693*935</f>
        <v>1582955</v>
      </c>
      <c r="H2661" s="1">
        <v>0</v>
      </c>
      <c r="I2661" s="1">
        <v>0</v>
      </c>
      <c r="J2661" s="1">
        <v>0</v>
      </c>
      <c r="K2661" s="1">
        <v>0</v>
      </c>
      <c r="L2661" s="2">
        <v>0</v>
      </c>
      <c r="M2661" s="1">
        <v>0</v>
      </c>
      <c r="N2661" s="1">
        <v>0</v>
      </c>
      <c r="O2661" s="1">
        <f t="shared" ref="O2661:O2667" si="1468">N2661*7750</f>
        <v>0</v>
      </c>
      <c r="P2661" s="1">
        <v>0</v>
      </c>
      <c r="Q2661" s="1">
        <f t="shared" si="1453"/>
        <v>0</v>
      </c>
      <c r="R2661" s="1">
        <v>0</v>
      </c>
      <c r="S2661" s="1">
        <f t="shared" si="1454"/>
        <v>0</v>
      </c>
      <c r="T2661" s="1">
        <v>0</v>
      </c>
      <c r="U2661" s="1">
        <v>0</v>
      </c>
      <c r="V2661" s="1">
        <v>0</v>
      </c>
      <c r="W2661" s="1">
        <v>0</v>
      </c>
      <c r="X2661" s="1">
        <v>0</v>
      </c>
      <c r="Y2661" s="1">
        <v>0</v>
      </c>
      <c r="Z2661" s="1">
        <v>0</v>
      </c>
      <c r="AA2661" s="1">
        <v>0</v>
      </c>
      <c r="AB2661" s="1">
        <v>0</v>
      </c>
      <c r="AC2661" s="1">
        <v>0</v>
      </c>
      <c r="AD2661" s="1">
        <v>0</v>
      </c>
    </row>
    <row r="2662" spans="1:30" s="20" customFormat="1" ht="36" customHeight="1" x14ac:dyDescent="0.25">
      <c r="A2662" s="2">
        <f t="shared" si="1455"/>
        <v>2578</v>
      </c>
      <c r="B2662" s="3">
        <f t="shared" si="1448"/>
        <v>2578</v>
      </c>
      <c r="C2662" s="19" t="s">
        <v>1557</v>
      </c>
      <c r="D2662" s="4">
        <f t="shared" si="1461"/>
        <v>17441785.600000001</v>
      </c>
      <c r="E2662" s="1">
        <f t="shared" si="1451"/>
        <v>8339385.6000000006</v>
      </c>
      <c r="F2662" s="1">
        <f>804*2486.4</f>
        <v>1999065.6</v>
      </c>
      <c r="G2662" s="1">
        <f>1693*2486.4</f>
        <v>4209475.2</v>
      </c>
      <c r="H2662" s="1">
        <f>390*2486.4</f>
        <v>969696</v>
      </c>
      <c r="I2662" s="1">
        <v>0</v>
      </c>
      <c r="J2662" s="1">
        <f>467*2486.4</f>
        <v>1161148.8</v>
      </c>
      <c r="K2662" s="1">
        <v>0</v>
      </c>
      <c r="L2662" s="2">
        <v>0</v>
      </c>
      <c r="M2662" s="1">
        <v>0</v>
      </c>
      <c r="N2662" s="1">
        <v>726</v>
      </c>
      <c r="O2662" s="1">
        <f t="shared" si="1468"/>
        <v>5626500</v>
      </c>
      <c r="P2662" s="1">
        <v>0</v>
      </c>
      <c r="Q2662" s="1">
        <f t="shared" si="1453"/>
        <v>0</v>
      </c>
      <c r="R2662" s="1">
        <v>900</v>
      </c>
      <c r="S2662" s="1">
        <f t="shared" si="1454"/>
        <v>3375900</v>
      </c>
      <c r="T2662" s="1">
        <v>0</v>
      </c>
      <c r="U2662" s="1">
        <v>50000</v>
      </c>
      <c r="V2662" s="1">
        <v>0</v>
      </c>
      <c r="W2662" s="1">
        <v>50000</v>
      </c>
      <c r="X2662" s="1">
        <v>0</v>
      </c>
      <c r="Y2662" s="1">
        <v>0</v>
      </c>
      <c r="Z2662" s="1">
        <v>0</v>
      </c>
      <c r="AA2662" s="1">
        <v>0</v>
      </c>
      <c r="AB2662" s="1">
        <v>0</v>
      </c>
      <c r="AC2662" s="1">
        <v>0</v>
      </c>
      <c r="AD2662" s="1">
        <v>0</v>
      </c>
    </row>
    <row r="2663" spans="1:30" s="20" customFormat="1" ht="36" customHeight="1" x14ac:dyDescent="0.25">
      <c r="A2663" s="2">
        <f t="shared" si="1455"/>
        <v>2579</v>
      </c>
      <c r="B2663" s="6">
        <f t="shared" ref="B2663:B2664" si="1469">A2663</f>
        <v>2579</v>
      </c>
      <c r="C2663" s="19" t="s">
        <v>2186</v>
      </c>
      <c r="D2663" s="4">
        <f t="shared" si="1461"/>
        <v>2081805</v>
      </c>
      <c r="E2663" s="1">
        <f t="shared" ref="E2663:E2664" si="1470">SUM(F2663:J2663)</f>
        <v>0</v>
      </c>
      <c r="F2663" s="1">
        <v>0</v>
      </c>
      <c r="G2663" s="1">
        <v>0</v>
      </c>
      <c r="H2663" s="1">
        <v>0</v>
      </c>
      <c r="I2663" s="1">
        <v>0</v>
      </c>
      <c r="J2663" s="1">
        <v>0</v>
      </c>
      <c r="K2663" s="1">
        <v>0</v>
      </c>
      <c r="L2663" s="2">
        <v>0</v>
      </c>
      <c r="M2663" s="1">
        <v>0</v>
      </c>
      <c r="N2663" s="1">
        <v>0</v>
      </c>
      <c r="O2663" s="1">
        <f t="shared" si="1468"/>
        <v>0</v>
      </c>
      <c r="P2663" s="1">
        <v>0</v>
      </c>
      <c r="Q2663" s="1">
        <f t="shared" ref="Q2663:Q2664" si="1471">P2663*1400</f>
        <v>0</v>
      </c>
      <c r="R2663" s="1">
        <v>555</v>
      </c>
      <c r="S2663" s="1">
        <f t="shared" ref="S2663:S2664" si="1472">R2663*3751</f>
        <v>2081805</v>
      </c>
      <c r="T2663" s="1">
        <v>0</v>
      </c>
      <c r="U2663" s="1">
        <v>0</v>
      </c>
      <c r="V2663" s="1">
        <v>0</v>
      </c>
      <c r="W2663" s="1">
        <v>0</v>
      </c>
      <c r="X2663" s="1">
        <v>0</v>
      </c>
      <c r="Y2663" s="1">
        <v>0</v>
      </c>
      <c r="Z2663" s="1">
        <v>0</v>
      </c>
      <c r="AA2663" s="1">
        <v>0</v>
      </c>
      <c r="AB2663" s="1">
        <v>0</v>
      </c>
      <c r="AC2663" s="1">
        <v>0</v>
      </c>
      <c r="AD2663" s="1">
        <v>0</v>
      </c>
    </row>
    <row r="2664" spans="1:30" s="20" customFormat="1" ht="36" customHeight="1" x14ac:dyDescent="0.25">
      <c r="A2664" s="2">
        <f t="shared" si="1455"/>
        <v>2580</v>
      </c>
      <c r="B2664" s="6">
        <f t="shared" si="1469"/>
        <v>2580</v>
      </c>
      <c r="C2664" s="19" t="s">
        <v>2187</v>
      </c>
      <c r="D2664" s="4">
        <f t="shared" si="1461"/>
        <v>2250600</v>
      </c>
      <c r="E2664" s="1">
        <f t="shared" si="1470"/>
        <v>0</v>
      </c>
      <c r="F2664" s="1">
        <v>0</v>
      </c>
      <c r="G2664" s="1">
        <v>0</v>
      </c>
      <c r="H2664" s="1">
        <v>0</v>
      </c>
      <c r="I2664" s="1">
        <v>0</v>
      </c>
      <c r="J2664" s="1">
        <v>0</v>
      </c>
      <c r="K2664" s="1">
        <v>0</v>
      </c>
      <c r="L2664" s="2">
        <v>0</v>
      </c>
      <c r="M2664" s="1">
        <v>0</v>
      </c>
      <c r="N2664" s="1">
        <v>0</v>
      </c>
      <c r="O2664" s="1">
        <f t="shared" si="1468"/>
        <v>0</v>
      </c>
      <c r="P2664" s="1">
        <v>0</v>
      </c>
      <c r="Q2664" s="1">
        <f t="shared" si="1471"/>
        <v>0</v>
      </c>
      <c r="R2664" s="1">
        <v>600</v>
      </c>
      <c r="S2664" s="1">
        <f t="shared" si="1472"/>
        <v>2250600</v>
      </c>
      <c r="T2664" s="1">
        <v>0</v>
      </c>
      <c r="U2664" s="1">
        <v>0</v>
      </c>
      <c r="V2664" s="1">
        <v>0</v>
      </c>
      <c r="W2664" s="1">
        <v>0</v>
      </c>
      <c r="X2664" s="1">
        <v>0</v>
      </c>
      <c r="Y2664" s="1">
        <v>0</v>
      </c>
      <c r="Z2664" s="1">
        <v>0</v>
      </c>
      <c r="AA2664" s="1">
        <v>0</v>
      </c>
      <c r="AB2664" s="1">
        <v>0</v>
      </c>
      <c r="AC2664" s="1">
        <v>0</v>
      </c>
      <c r="AD2664" s="1">
        <v>0</v>
      </c>
    </row>
    <row r="2665" spans="1:30" s="20" customFormat="1" ht="36" customHeight="1" x14ac:dyDescent="0.25">
      <c r="A2665" s="2">
        <f t="shared" si="1455"/>
        <v>2581</v>
      </c>
      <c r="B2665" s="6">
        <f t="shared" si="1448"/>
        <v>2581</v>
      </c>
      <c r="C2665" s="19" t="s">
        <v>2189</v>
      </c>
      <c r="D2665" s="4">
        <f t="shared" si="1461"/>
        <v>2063050</v>
      </c>
      <c r="E2665" s="1">
        <f t="shared" ref="E2665:E2666" si="1473">SUM(F2665:J2665)</f>
        <v>0</v>
      </c>
      <c r="F2665" s="1">
        <v>0</v>
      </c>
      <c r="G2665" s="1">
        <v>0</v>
      </c>
      <c r="H2665" s="1">
        <v>0</v>
      </c>
      <c r="I2665" s="1">
        <v>0</v>
      </c>
      <c r="J2665" s="1">
        <v>0</v>
      </c>
      <c r="K2665" s="1">
        <v>0</v>
      </c>
      <c r="L2665" s="2">
        <v>0</v>
      </c>
      <c r="M2665" s="1">
        <v>0</v>
      </c>
      <c r="N2665" s="1">
        <v>0</v>
      </c>
      <c r="O2665" s="1">
        <f t="shared" si="1468"/>
        <v>0</v>
      </c>
      <c r="P2665" s="1">
        <v>0</v>
      </c>
      <c r="Q2665" s="1">
        <f t="shared" si="1453"/>
        <v>0</v>
      </c>
      <c r="R2665" s="1">
        <v>550</v>
      </c>
      <c r="S2665" s="1">
        <f t="shared" si="1454"/>
        <v>2063050</v>
      </c>
      <c r="T2665" s="1">
        <v>0</v>
      </c>
      <c r="U2665" s="1">
        <v>0</v>
      </c>
      <c r="V2665" s="1">
        <v>0</v>
      </c>
      <c r="W2665" s="1">
        <v>0</v>
      </c>
      <c r="X2665" s="1">
        <v>0</v>
      </c>
      <c r="Y2665" s="1">
        <v>0</v>
      </c>
      <c r="Z2665" s="1">
        <v>0</v>
      </c>
      <c r="AA2665" s="1">
        <v>0</v>
      </c>
      <c r="AB2665" s="1">
        <v>0</v>
      </c>
      <c r="AC2665" s="1">
        <v>0</v>
      </c>
      <c r="AD2665" s="1">
        <v>0</v>
      </c>
    </row>
    <row r="2666" spans="1:30" s="20" customFormat="1" ht="36" customHeight="1" x14ac:dyDescent="0.25">
      <c r="A2666" s="2">
        <f t="shared" si="1455"/>
        <v>2582</v>
      </c>
      <c r="B2666" s="6">
        <f t="shared" si="1448"/>
        <v>2582</v>
      </c>
      <c r="C2666" s="19" t="s">
        <v>2190</v>
      </c>
      <c r="D2666" s="4">
        <f t="shared" si="1461"/>
        <v>2100560</v>
      </c>
      <c r="E2666" s="1">
        <f t="shared" si="1473"/>
        <v>0</v>
      </c>
      <c r="F2666" s="1">
        <v>0</v>
      </c>
      <c r="G2666" s="1">
        <v>0</v>
      </c>
      <c r="H2666" s="1">
        <v>0</v>
      </c>
      <c r="I2666" s="1">
        <v>0</v>
      </c>
      <c r="J2666" s="1">
        <v>0</v>
      </c>
      <c r="K2666" s="1">
        <v>0</v>
      </c>
      <c r="L2666" s="2">
        <v>0</v>
      </c>
      <c r="M2666" s="1">
        <v>0</v>
      </c>
      <c r="N2666" s="1">
        <v>0</v>
      </c>
      <c r="O2666" s="1">
        <f t="shared" si="1468"/>
        <v>0</v>
      </c>
      <c r="P2666" s="1">
        <v>0</v>
      </c>
      <c r="Q2666" s="1">
        <f t="shared" si="1453"/>
        <v>0</v>
      </c>
      <c r="R2666" s="1">
        <v>560</v>
      </c>
      <c r="S2666" s="1">
        <f t="shared" si="1454"/>
        <v>2100560</v>
      </c>
      <c r="T2666" s="1">
        <v>0</v>
      </c>
      <c r="U2666" s="1">
        <v>0</v>
      </c>
      <c r="V2666" s="1">
        <v>0</v>
      </c>
      <c r="W2666" s="1">
        <v>0</v>
      </c>
      <c r="X2666" s="1">
        <v>0</v>
      </c>
      <c r="Y2666" s="1">
        <v>0</v>
      </c>
      <c r="Z2666" s="1">
        <v>0</v>
      </c>
      <c r="AA2666" s="1">
        <v>0</v>
      </c>
      <c r="AB2666" s="1">
        <v>0</v>
      </c>
      <c r="AC2666" s="1">
        <v>0</v>
      </c>
      <c r="AD2666" s="1">
        <v>0</v>
      </c>
    </row>
    <row r="2667" spans="1:30" s="20" customFormat="1" ht="36" customHeight="1" x14ac:dyDescent="0.25">
      <c r="A2667" s="2">
        <f t="shared" si="1455"/>
        <v>2583</v>
      </c>
      <c r="B2667" s="3">
        <f t="shared" si="1448"/>
        <v>2583</v>
      </c>
      <c r="C2667" s="19" t="s">
        <v>1560</v>
      </c>
      <c r="D2667" s="4">
        <f t="shared" si="1461"/>
        <v>6053777.4000000004</v>
      </c>
      <c r="E2667" s="1">
        <f t="shared" si="1451"/>
        <v>1655534.4000000001</v>
      </c>
      <c r="F2667" s="1">
        <f>804*493.6</f>
        <v>396854.4</v>
      </c>
      <c r="G2667" s="1">
        <f>1693*493.6</f>
        <v>835664.8</v>
      </c>
      <c r="H2667" s="1">
        <f>390*493.6</f>
        <v>192504</v>
      </c>
      <c r="I2667" s="1">
        <v>0</v>
      </c>
      <c r="J2667" s="1">
        <f>467*493.6</f>
        <v>230511.2</v>
      </c>
      <c r="K2667" s="1">
        <v>0</v>
      </c>
      <c r="L2667" s="2">
        <v>0</v>
      </c>
      <c r="M2667" s="1">
        <v>0</v>
      </c>
      <c r="N2667" s="1">
        <v>316</v>
      </c>
      <c r="O2667" s="1">
        <f t="shared" si="1468"/>
        <v>2449000</v>
      </c>
      <c r="P2667" s="1">
        <v>0</v>
      </c>
      <c r="Q2667" s="1">
        <f t="shared" si="1453"/>
        <v>0</v>
      </c>
      <c r="R2667" s="1">
        <v>493</v>
      </c>
      <c r="S2667" s="1">
        <f t="shared" si="1454"/>
        <v>1849243</v>
      </c>
      <c r="T2667" s="1">
        <v>0</v>
      </c>
      <c r="U2667" s="1">
        <v>50000</v>
      </c>
      <c r="V2667" s="1">
        <v>0</v>
      </c>
      <c r="W2667" s="1">
        <v>50000</v>
      </c>
      <c r="X2667" s="1">
        <v>0</v>
      </c>
      <c r="Y2667" s="1">
        <v>0</v>
      </c>
      <c r="Z2667" s="1">
        <v>0</v>
      </c>
      <c r="AA2667" s="1">
        <v>0</v>
      </c>
      <c r="AB2667" s="1">
        <v>0</v>
      </c>
      <c r="AC2667" s="1">
        <v>0</v>
      </c>
      <c r="AD2667" s="1">
        <v>0</v>
      </c>
    </row>
    <row r="2668" spans="1:30" s="20" customFormat="1" ht="54.95" customHeight="1" x14ac:dyDescent="0.25">
      <c r="A2668" s="3"/>
      <c r="B2668" s="47" t="s">
        <v>1983</v>
      </c>
      <c r="C2668" s="48"/>
      <c r="D2668" s="4">
        <f>SUM(D2669:D2686)</f>
        <v>95409888.230000004</v>
      </c>
      <c r="E2668" s="4">
        <f t="shared" ref="E2668:AD2668" si="1474">SUM(E2669:E2686)</f>
        <v>12926427.309999999</v>
      </c>
      <c r="F2668" s="4">
        <f t="shared" si="1474"/>
        <v>7063308.8399999999</v>
      </c>
      <c r="G2668" s="4">
        <f t="shared" si="1474"/>
        <v>674660.5</v>
      </c>
      <c r="H2668" s="4">
        <f t="shared" si="1474"/>
        <v>2361141.9</v>
      </c>
      <c r="I2668" s="4">
        <f t="shared" si="1474"/>
        <v>0</v>
      </c>
      <c r="J2668" s="4">
        <f t="shared" si="1474"/>
        <v>2827316.0700000003</v>
      </c>
      <c r="K2668" s="4">
        <f t="shared" si="1474"/>
        <v>0</v>
      </c>
      <c r="L2668" s="17">
        <f t="shared" si="1474"/>
        <v>0</v>
      </c>
      <c r="M2668" s="4">
        <f t="shared" si="1474"/>
        <v>0</v>
      </c>
      <c r="N2668" s="4">
        <f t="shared" si="1474"/>
        <v>6218.9199999999992</v>
      </c>
      <c r="O2668" s="4">
        <f t="shared" si="1474"/>
        <v>48196630</v>
      </c>
      <c r="P2668" s="4">
        <f t="shared" si="1474"/>
        <v>0</v>
      </c>
      <c r="Q2668" s="4">
        <f t="shared" si="1474"/>
        <v>0</v>
      </c>
      <c r="R2668" s="4">
        <f t="shared" si="1474"/>
        <v>8380.9199999999983</v>
      </c>
      <c r="S2668" s="4">
        <f t="shared" si="1474"/>
        <v>31436830.919999998</v>
      </c>
      <c r="T2668" s="4">
        <f t="shared" si="1474"/>
        <v>1500000</v>
      </c>
      <c r="U2668" s="4">
        <f t="shared" si="1474"/>
        <v>850000</v>
      </c>
      <c r="V2668" s="4">
        <f t="shared" si="1474"/>
        <v>0</v>
      </c>
      <c r="W2668" s="4">
        <f t="shared" si="1474"/>
        <v>500000</v>
      </c>
      <c r="X2668" s="4">
        <f t="shared" si="1474"/>
        <v>0</v>
      </c>
      <c r="Y2668" s="4">
        <f t="shared" si="1474"/>
        <v>0</v>
      </c>
      <c r="Z2668" s="4">
        <f t="shared" si="1474"/>
        <v>0</v>
      </c>
      <c r="AA2668" s="4">
        <f t="shared" si="1474"/>
        <v>0</v>
      </c>
      <c r="AB2668" s="4">
        <f t="shared" si="1474"/>
        <v>0</v>
      </c>
      <c r="AC2668" s="4">
        <f t="shared" si="1474"/>
        <v>0</v>
      </c>
      <c r="AD2668" s="4">
        <f t="shared" si="1474"/>
        <v>0</v>
      </c>
    </row>
    <row r="2669" spans="1:30" s="20" customFormat="1" ht="36" customHeight="1" x14ac:dyDescent="0.25">
      <c r="A2669" s="2">
        <f>ROW()-ROW($A$11)-74</f>
        <v>2584</v>
      </c>
      <c r="B2669" s="3">
        <f t="shared" si="1448"/>
        <v>2584</v>
      </c>
      <c r="C2669" s="19" t="s">
        <v>2615</v>
      </c>
      <c r="D2669" s="4">
        <f t="shared" ref="D2669:D2686" si="1475">E2669+M2669+O2669+Q2669+S2669+T2669+U2669+V2669+W2669+X2669+Z2669+AA2669+AB2669+AC2669+AD2669</f>
        <v>2561277.1</v>
      </c>
      <c r="E2669" s="1">
        <f t="shared" ref="E2669:E2686" si="1476">SUM(F2669:K2669)</f>
        <v>998427.10000000009</v>
      </c>
      <c r="F2669" s="1">
        <f>804*601.1</f>
        <v>483284.4</v>
      </c>
      <c r="G2669" s="1">
        <v>0</v>
      </c>
      <c r="H2669" s="1">
        <f>390*601.1</f>
        <v>234429</v>
      </c>
      <c r="I2669" s="1">
        <v>0</v>
      </c>
      <c r="J2669" s="1">
        <f>467*601.1</f>
        <v>280713.7</v>
      </c>
      <c r="K2669" s="1">
        <v>0</v>
      </c>
      <c r="L2669" s="2">
        <v>0</v>
      </c>
      <c r="M2669" s="1">
        <v>0</v>
      </c>
      <c r="N2669" s="1">
        <v>0</v>
      </c>
      <c r="O2669" s="1">
        <v>0</v>
      </c>
      <c r="P2669" s="1">
        <v>0</v>
      </c>
      <c r="Q2669" s="1">
        <f t="shared" ref="Q2669:Q2686" si="1477">P2669*1400</f>
        <v>0</v>
      </c>
      <c r="R2669" s="1">
        <v>350</v>
      </c>
      <c r="S2669" s="1">
        <f t="shared" si="1454"/>
        <v>1312850</v>
      </c>
      <c r="T2669" s="1">
        <v>150000</v>
      </c>
      <c r="U2669" s="1">
        <v>50000</v>
      </c>
      <c r="V2669" s="1">
        <v>0</v>
      </c>
      <c r="W2669" s="1">
        <v>50000</v>
      </c>
      <c r="X2669" s="1">
        <v>0</v>
      </c>
      <c r="Y2669" s="1">
        <v>0</v>
      </c>
      <c r="Z2669" s="1">
        <v>0</v>
      </c>
      <c r="AA2669" s="1">
        <v>0</v>
      </c>
      <c r="AB2669" s="1">
        <v>0</v>
      </c>
      <c r="AC2669" s="1">
        <v>0</v>
      </c>
      <c r="AD2669" s="1">
        <v>0</v>
      </c>
    </row>
    <row r="2670" spans="1:30" s="20" customFormat="1" ht="36" customHeight="1" x14ac:dyDescent="0.25">
      <c r="A2670" s="2">
        <f t="shared" ref="A2670:A2686" si="1478">ROW()-ROW($A$11)-74</f>
        <v>2585</v>
      </c>
      <c r="B2670" s="3">
        <f t="shared" si="1448"/>
        <v>2585</v>
      </c>
      <c r="C2670" s="19" t="s">
        <v>2616</v>
      </c>
      <c r="D2670" s="4">
        <f t="shared" si="1475"/>
        <v>2141948.2999999998</v>
      </c>
      <c r="E2670" s="1">
        <f t="shared" si="1476"/>
        <v>762897.29999999993</v>
      </c>
      <c r="F2670" s="1">
        <f>804*459.3</f>
        <v>369277.2</v>
      </c>
      <c r="G2670" s="1">
        <v>0</v>
      </c>
      <c r="H2670" s="1">
        <f>390*459.3</f>
        <v>179127</v>
      </c>
      <c r="I2670" s="1">
        <v>0</v>
      </c>
      <c r="J2670" s="1">
        <f>467*459.3</f>
        <v>214493.1</v>
      </c>
      <c r="K2670" s="1">
        <v>0</v>
      </c>
      <c r="L2670" s="2">
        <v>0</v>
      </c>
      <c r="M2670" s="1">
        <v>0</v>
      </c>
      <c r="N2670" s="1">
        <v>0</v>
      </c>
      <c r="O2670" s="1">
        <v>0</v>
      </c>
      <c r="P2670" s="1">
        <v>0</v>
      </c>
      <c r="Q2670" s="1">
        <f t="shared" si="1477"/>
        <v>0</v>
      </c>
      <c r="R2670" s="1">
        <v>301</v>
      </c>
      <c r="S2670" s="1">
        <f t="shared" si="1454"/>
        <v>1129051</v>
      </c>
      <c r="T2670" s="1">
        <v>150000</v>
      </c>
      <c r="U2670" s="1">
        <v>50000</v>
      </c>
      <c r="V2670" s="1">
        <v>0</v>
      </c>
      <c r="W2670" s="1">
        <v>50000</v>
      </c>
      <c r="X2670" s="1">
        <v>0</v>
      </c>
      <c r="Y2670" s="1">
        <v>0</v>
      </c>
      <c r="Z2670" s="1">
        <v>0</v>
      </c>
      <c r="AA2670" s="1">
        <v>0</v>
      </c>
      <c r="AB2670" s="1">
        <v>0</v>
      </c>
      <c r="AC2670" s="1">
        <v>0</v>
      </c>
      <c r="AD2670" s="1">
        <v>0</v>
      </c>
    </row>
    <row r="2671" spans="1:30" s="20" customFormat="1" ht="36" customHeight="1" x14ac:dyDescent="0.25">
      <c r="A2671" s="2">
        <f t="shared" si="1478"/>
        <v>2586</v>
      </c>
      <c r="B2671" s="6">
        <f t="shared" si="1448"/>
        <v>2586</v>
      </c>
      <c r="C2671" s="19" t="s">
        <v>2194</v>
      </c>
      <c r="D2671" s="4">
        <f t="shared" si="1475"/>
        <v>5422928.2000000002</v>
      </c>
      <c r="E2671" s="1">
        <f t="shared" ref="E2671:E2672" si="1479">SUM(F2671:J2671)</f>
        <v>343147.2</v>
      </c>
      <c r="F2671" s="1">
        <f>804*426.8</f>
        <v>343147.2</v>
      </c>
      <c r="G2671" s="1">
        <v>0</v>
      </c>
      <c r="H2671" s="1">
        <v>0</v>
      </c>
      <c r="I2671" s="1">
        <v>0</v>
      </c>
      <c r="J2671" s="1">
        <v>0</v>
      </c>
      <c r="K2671" s="1">
        <v>0</v>
      </c>
      <c r="L2671" s="2">
        <v>0</v>
      </c>
      <c r="M2671" s="1">
        <v>0</v>
      </c>
      <c r="N2671" s="1">
        <v>392</v>
      </c>
      <c r="O2671" s="1">
        <f t="shared" ref="O2671:O2682" si="1480">N2671*7750</f>
        <v>3038000</v>
      </c>
      <c r="P2671" s="1">
        <v>0</v>
      </c>
      <c r="Q2671" s="1">
        <f t="shared" ref="Q2671:Q2672" si="1481">P2671*1400</f>
        <v>0</v>
      </c>
      <c r="R2671" s="1">
        <v>531</v>
      </c>
      <c r="S2671" s="1">
        <f t="shared" si="1454"/>
        <v>1991781</v>
      </c>
      <c r="T2671" s="1">
        <v>0</v>
      </c>
      <c r="U2671" s="1">
        <v>50000</v>
      </c>
      <c r="V2671" s="1">
        <v>0</v>
      </c>
      <c r="W2671" s="1">
        <v>0</v>
      </c>
      <c r="X2671" s="1">
        <v>0</v>
      </c>
      <c r="Y2671" s="1">
        <v>0</v>
      </c>
      <c r="Z2671" s="1">
        <v>0</v>
      </c>
      <c r="AA2671" s="1">
        <v>0</v>
      </c>
      <c r="AB2671" s="1">
        <v>0</v>
      </c>
      <c r="AC2671" s="1">
        <v>0</v>
      </c>
      <c r="AD2671" s="1">
        <v>0</v>
      </c>
    </row>
    <row r="2672" spans="1:30" s="20" customFormat="1" ht="36" customHeight="1" x14ac:dyDescent="0.25">
      <c r="A2672" s="2">
        <f t="shared" si="1478"/>
        <v>2587</v>
      </c>
      <c r="B2672" s="6">
        <f t="shared" si="1448"/>
        <v>2587</v>
      </c>
      <c r="C2672" s="19" t="s">
        <v>2195</v>
      </c>
      <c r="D2672" s="4">
        <f t="shared" si="1475"/>
        <v>3107750</v>
      </c>
      <c r="E2672" s="1">
        <f t="shared" si="1479"/>
        <v>0</v>
      </c>
      <c r="F2672" s="1">
        <v>0</v>
      </c>
      <c r="G2672" s="1">
        <v>0</v>
      </c>
      <c r="H2672" s="1">
        <v>0</v>
      </c>
      <c r="I2672" s="1">
        <v>0</v>
      </c>
      <c r="J2672" s="1">
        <v>0</v>
      </c>
      <c r="K2672" s="1">
        <v>0</v>
      </c>
      <c r="L2672" s="2">
        <v>0</v>
      </c>
      <c r="M2672" s="1">
        <v>0</v>
      </c>
      <c r="N2672" s="1">
        <v>401</v>
      </c>
      <c r="O2672" s="1">
        <f t="shared" si="1480"/>
        <v>3107750</v>
      </c>
      <c r="P2672" s="1">
        <v>0</v>
      </c>
      <c r="Q2672" s="1">
        <f t="shared" si="1481"/>
        <v>0</v>
      </c>
      <c r="R2672" s="1">
        <v>0</v>
      </c>
      <c r="S2672" s="1">
        <f t="shared" si="1454"/>
        <v>0</v>
      </c>
      <c r="T2672" s="1">
        <v>0</v>
      </c>
      <c r="U2672" s="1">
        <v>0</v>
      </c>
      <c r="V2672" s="1">
        <v>0</v>
      </c>
      <c r="W2672" s="1">
        <v>0</v>
      </c>
      <c r="X2672" s="1">
        <v>0</v>
      </c>
      <c r="Y2672" s="1">
        <v>0</v>
      </c>
      <c r="Z2672" s="1">
        <v>0</v>
      </c>
      <c r="AA2672" s="1">
        <v>0</v>
      </c>
      <c r="AB2672" s="1">
        <v>0</v>
      </c>
      <c r="AC2672" s="1">
        <v>0</v>
      </c>
      <c r="AD2672" s="1">
        <v>0</v>
      </c>
    </row>
    <row r="2673" spans="1:30" s="20" customFormat="1" ht="36" customHeight="1" x14ac:dyDescent="0.25">
      <c r="A2673" s="2">
        <f t="shared" si="1478"/>
        <v>2588</v>
      </c>
      <c r="B2673" s="6">
        <f t="shared" ref="B2673" si="1482">A2673</f>
        <v>2588</v>
      </c>
      <c r="C2673" s="19" t="s">
        <v>2196</v>
      </c>
      <c r="D2673" s="4">
        <f t="shared" si="1475"/>
        <v>3076379</v>
      </c>
      <c r="E2673" s="1">
        <f t="shared" ref="E2673" si="1483">SUM(F2673:J2673)</f>
        <v>471948</v>
      </c>
      <c r="F2673" s="1">
        <f>804*587</f>
        <v>471948</v>
      </c>
      <c r="G2673" s="1">
        <v>0</v>
      </c>
      <c r="H2673" s="1">
        <v>0</v>
      </c>
      <c r="I2673" s="1">
        <v>0</v>
      </c>
      <c r="J2673" s="1">
        <v>0</v>
      </c>
      <c r="K2673" s="1">
        <v>0</v>
      </c>
      <c r="L2673" s="2">
        <v>0</v>
      </c>
      <c r="M2673" s="1">
        <v>0</v>
      </c>
      <c r="N2673" s="1">
        <v>0</v>
      </c>
      <c r="O2673" s="1">
        <f t="shared" si="1480"/>
        <v>0</v>
      </c>
      <c r="P2673" s="1">
        <v>0</v>
      </c>
      <c r="Q2673" s="1">
        <f t="shared" si="1477"/>
        <v>0</v>
      </c>
      <c r="R2673" s="1">
        <v>681</v>
      </c>
      <c r="S2673" s="1">
        <f t="shared" ref="S2673" si="1484">R2673*3751</f>
        <v>2554431</v>
      </c>
      <c r="T2673" s="1">
        <v>0</v>
      </c>
      <c r="U2673" s="1">
        <v>50000</v>
      </c>
      <c r="V2673" s="1">
        <v>0</v>
      </c>
      <c r="W2673" s="1">
        <v>0</v>
      </c>
      <c r="X2673" s="1">
        <v>0</v>
      </c>
      <c r="Y2673" s="1">
        <v>0</v>
      </c>
      <c r="Z2673" s="1">
        <v>0</v>
      </c>
      <c r="AA2673" s="1">
        <v>0</v>
      </c>
      <c r="AB2673" s="1">
        <v>0</v>
      </c>
      <c r="AC2673" s="1">
        <v>0</v>
      </c>
      <c r="AD2673" s="1">
        <v>0</v>
      </c>
    </row>
    <row r="2674" spans="1:30" s="20" customFormat="1" ht="36" customHeight="1" x14ac:dyDescent="0.25">
      <c r="A2674" s="2">
        <f t="shared" si="1478"/>
        <v>2589</v>
      </c>
      <c r="B2674" s="6">
        <f t="shared" si="1448"/>
        <v>2589</v>
      </c>
      <c r="C2674" s="19" t="s">
        <v>2192</v>
      </c>
      <c r="D2674" s="4">
        <f t="shared" si="1475"/>
        <v>5343363.8</v>
      </c>
      <c r="E2674" s="1">
        <f t="shared" ref="E2674" si="1485">SUM(F2674:J2674)</f>
        <v>343066.8</v>
      </c>
      <c r="F2674" s="1">
        <f>804*426.7</f>
        <v>343066.8</v>
      </c>
      <c r="G2674" s="1">
        <v>0</v>
      </c>
      <c r="H2674" s="1">
        <v>0</v>
      </c>
      <c r="I2674" s="1">
        <v>0</v>
      </c>
      <c r="J2674" s="1">
        <v>0</v>
      </c>
      <c r="K2674" s="1">
        <v>0</v>
      </c>
      <c r="L2674" s="2">
        <v>0</v>
      </c>
      <c r="M2674" s="1">
        <v>0</v>
      </c>
      <c r="N2674" s="1">
        <v>374</v>
      </c>
      <c r="O2674" s="1">
        <f t="shared" si="1480"/>
        <v>2898500</v>
      </c>
      <c r="P2674" s="1">
        <v>0</v>
      </c>
      <c r="Q2674" s="1">
        <f t="shared" ref="Q2674" si="1486">P2674*1400</f>
        <v>0</v>
      </c>
      <c r="R2674" s="1">
        <v>547</v>
      </c>
      <c r="S2674" s="1">
        <f t="shared" si="1454"/>
        <v>2051797</v>
      </c>
      <c r="T2674" s="1">
        <v>0</v>
      </c>
      <c r="U2674" s="1">
        <v>50000</v>
      </c>
      <c r="V2674" s="1">
        <v>0</v>
      </c>
      <c r="W2674" s="1">
        <v>0</v>
      </c>
      <c r="X2674" s="1">
        <v>0</v>
      </c>
      <c r="Y2674" s="1">
        <v>0</v>
      </c>
      <c r="Z2674" s="1">
        <v>0</v>
      </c>
      <c r="AA2674" s="1">
        <v>0</v>
      </c>
      <c r="AB2674" s="1">
        <v>0</v>
      </c>
      <c r="AC2674" s="1">
        <v>0</v>
      </c>
      <c r="AD2674" s="1">
        <v>0</v>
      </c>
    </row>
    <row r="2675" spans="1:30" s="20" customFormat="1" ht="36" customHeight="1" x14ac:dyDescent="0.25">
      <c r="A2675" s="2">
        <f t="shared" si="1478"/>
        <v>2590</v>
      </c>
      <c r="B2675" s="6">
        <f t="shared" ref="B2675" si="1487">A2675</f>
        <v>2590</v>
      </c>
      <c r="C2675" s="19" t="s">
        <v>2193</v>
      </c>
      <c r="D2675" s="4">
        <f t="shared" si="1475"/>
        <v>5387451.7999999998</v>
      </c>
      <c r="E2675" s="1">
        <f t="shared" ref="E2675" si="1488">SUM(F2675:J2675)</f>
        <v>340654.8</v>
      </c>
      <c r="F2675" s="1">
        <f>804*423.7</f>
        <v>340654.8</v>
      </c>
      <c r="G2675" s="1">
        <v>0</v>
      </c>
      <c r="H2675" s="1">
        <v>0</v>
      </c>
      <c r="I2675" s="1">
        <v>0</v>
      </c>
      <c r="J2675" s="1">
        <v>0</v>
      </c>
      <c r="K2675" s="1">
        <v>0</v>
      </c>
      <c r="L2675" s="2">
        <v>0</v>
      </c>
      <c r="M2675" s="1">
        <v>0</v>
      </c>
      <c r="N2675" s="1">
        <v>380</v>
      </c>
      <c r="O2675" s="1">
        <f t="shared" si="1480"/>
        <v>2945000</v>
      </c>
      <c r="P2675" s="1">
        <v>0</v>
      </c>
      <c r="Q2675" s="1">
        <f t="shared" si="1477"/>
        <v>0</v>
      </c>
      <c r="R2675" s="1">
        <v>547</v>
      </c>
      <c r="S2675" s="1">
        <f t="shared" ref="S2675" si="1489">R2675*3751</f>
        <v>2051797</v>
      </c>
      <c r="T2675" s="1">
        <v>0</v>
      </c>
      <c r="U2675" s="1">
        <v>50000</v>
      </c>
      <c r="V2675" s="1">
        <v>0</v>
      </c>
      <c r="W2675" s="1">
        <v>0</v>
      </c>
      <c r="X2675" s="1">
        <v>0</v>
      </c>
      <c r="Y2675" s="1">
        <v>0</v>
      </c>
      <c r="Z2675" s="1">
        <v>0</v>
      </c>
      <c r="AA2675" s="1">
        <v>0</v>
      </c>
      <c r="AB2675" s="1">
        <v>0</v>
      </c>
      <c r="AC2675" s="1">
        <v>0</v>
      </c>
      <c r="AD2675" s="1">
        <v>0</v>
      </c>
    </row>
    <row r="2676" spans="1:30" s="20" customFormat="1" ht="36" customHeight="1" x14ac:dyDescent="0.25">
      <c r="A2676" s="2">
        <f t="shared" si="1478"/>
        <v>2591</v>
      </c>
      <c r="B2676" s="3">
        <f t="shared" si="1448"/>
        <v>2591</v>
      </c>
      <c r="C2676" s="19" t="s">
        <v>1561</v>
      </c>
      <c r="D2676" s="4">
        <f t="shared" si="1475"/>
        <v>9650037.1600000001</v>
      </c>
      <c r="E2676" s="1">
        <f t="shared" si="1476"/>
        <v>1186252.98</v>
      </c>
      <c r="F2676" s="1">
        <f>804*714.18</f>
        <v>574200.72</v>
      </c>
      <c r="G2676" s="1">
        <v>0</v>
      </c>
      <c r="H2676" s="1">
        <f>390*714.18</f>
        <v>278530.19999999995</v>
      </c>
      <c r="I2676" s="1">
        <v>0</v>
      </c>
      <c r="J2676" s="1">
        <f>467*714.18</f>
        <v>333522.06</v>
      </c>
      <c r="K2676" s="1">
        <v>0</v>
      </c>
      <c r="L2676" s="2">
        <v>0</v>
      </c>
      <c r="M2676" s="1">
        <v>0</v>
      </c>
      <c r="N2676" s="35">
        <v>714.18</v>
      </c>
      <c r="O2676" s="1">
        <f t="shared" si="1480"/>
        <v>5534895</v>
      </c>
      <c r="P2676" s="1">
        <v>0</v>
      </c>
      <c r="Q2676" s="1">
        <f t="shared" si="1477"/>
        <v>0</v>
      </c>
      <c r="R2676" s="35">
        <v>714.18</v>
      </c>
      <c r="S2676" s="1">
        <f t="shared" si="1454"/>
        <v>2678889.1799999997</v>
      </c>
      <c r="T2676" s="1">
        <v>150000</v>
      </c>
      <c r="U2676" s="1">
        <v>50000</v>
      </c>
      <c r="V2676" s="1">
        <v>0</v>
      </c>
      <c r="W2676" s="1">
        <v>50000</v>
      </c>
      <c r="X2676" s="1">
        <v>0</v>
      </c>
      <c r="Y2676" s="1">
        <v>0</v>
      </c>
      <c r="Z2676" s="1">
        <v>0</v>
      </c>
      <c r="AA2676" s="1">
        <v>0</v>
      </c>
      <c r="AB2676" s="1">
        <v>0</v>
      </c>
      <c r="AC2676" s="1">
        <v>0</v>
      </c>
      <c r="AD2676" s="1">
        <v>0</v>
      </c>
    </row>
    <row r="2677" spans="1:30" s="20" customFormat="1" ht="36" customHeight="1" x14ac:dyDescent="0.25">
      <c r="A2677" s="2">
        <f t="shared" si="1478"/>
        <v>2592</v>
      </c>
      <c r="B2677" s="3">
        <f t="shared" si="1448"/>
        <v>2592</v>
      </c>
      <c r="C2677" s="19" t="s">
        <v>1562</v>
      </c>
      <c r="D2677" s="4">
        <f t="shared" si="1475"/>
        <v>5635627.1600000001</v>
      </c>
      <c r="E2677" s="1">
        <f t="shared" si="1476"/>
        <v>679647.98</v>
      </c>
      <c r="F2677" s="1">
        <f>804*409.18</f>
        <v>328980.72000000003</v>
      </c>
      <c r="G2677" s="1">
        <v>0</v>
      </c>
      <c r="H2677" s="1">
        <f>390*409.18</f>
        <v>159580.20000000001</v>
      </c>
      <c r="I2677" s="1">
        <v>0</v>
      </c>
      <c r="J2677" s="1">
        <f>467*409.18</f>
        <v>191087.06</v>
      </c>
      <c r="K2677" s="1">
        <v>0</v>
      </c>
      <c r="L2677" s="2">
        <v>0</v>
      </c>
      <c r="M2677" s="1">
        <v>0</v>
      </c>
      <c r="N2677" s="35">
        <v>409.18</v>
      </c>
      <c r="O2677" s="1">
        <f t="shared" si="1480"/>
        <v>3171145</v>
      </c>
      <c r="P2677" s="1">
        <v>0</v>
      </c>
      <c r="Q2677" s="1">
        <f t="shared" si="1477"/>
        <v>0</v>
      </c>
      <c r="R2677" s="35">
        <v>409.18</v>
      </c>
      <c r="S2677" s="1">
        <f t="shared" si="1454"/>
        <v>1534834.18</v>
      </c>
      <c r="T2677" s="1">
        <v>150000</v>
      </c>
      <c r="U2677" s="1">
        <v>50000</v>
      </c>
      <c r="V2677" s="1">
        <v>0</v>
      </c>
      <c r="W2677" s="1">
        <v>50000</v>
      </c>
      <c r="X2677" s="1">
        <v>0</v>
      </c>
      <c r="Y2677" s="1">
        <v>0</v>
      </c>
      <c r="Z2677" s="1">
        <v>0</v>
      </c>
      <c r="AA2677" s="1">
        <v>0</v>
      </c>
      <c r="AB2677" s="1">
        <v>0</v>
      </c>
      <c r="AC2677" s="1">
        <v>0</v>
      </c>
      <c r="AD2677" s="1">
        <v>0</v>
      </c>
    </row>
    <row r="2678" spans="1:30" s="20" customFormat="1" ht="36" customHeight="1" x14ac:dyDescent="0.25">
      <c r="A2678" s="2">
        <f t="shared" si="1478"/>
        <v>2593</v>
      </c>
      <c r="B2678" s="3">
        <f t="shared" si="1448"/>
        <v>2593</v>
      </c>
      <c r="C2678" s="19" t="s">
        <v>1563</v>
      </c>
      <c r="D2678" s="4">
        <f t="shared" si="1475"/>
        <v>9914856.5999999996</v>
      </c>
      <c r="E2678" s="1">
        <f t="shared" si="1476"/>
        <v>1219672.2999999998</v>
      </c>
      <c r="F2678" s="1">
        <f>804*734.3</f>
        <v>590377.19999999995</v>
      </c>
      <c r="G2678" s="1">
        <v>0</v>
      </c>
      <c r="H2678" s="1">
        <f>390*734.3</f>
        <v>286377</v>
      </c>
      <c r="I2678" s="1">
        <v>0</v>
      </c>
      <c r="J2678" s="1">
        <f>467*734.3</f>
        <v>342918.1</v>
      </c>
      <c r="K2678" s="1">
        <v>0</v>
      </c>
      <c r="L2678" s="2">
        <v>0</v>
      </c>
      <c r="M2678" s="1">
        <v>0</v>
      </c>
      <c r="N2678" s="35">
        <v>734.3</v>
      </c>
      <c r="O2678" s="1">
        <f t="shared" si="1480"/>
        <v>5690825</v>
      </c>
      <c r="P2678" s="1">
        <v>0</v>
      </c>
      <c r="Q2678" s="1">
        <f t="shared" si="1477"/>
        <v>0</v>
      </c>
      <c r="R2678" s="35">
        <v>734.3</v>
      </c>
      <c r="S2678" s="1">
        <f t="shared" si="1454"/>
        <v>2754359.3</v>
      </c>
      <c r="T2678" s="1">
        <v>150000</v>
      </c>
      <c r="U2678" s="1">
        <v>50000</v>
      </c>
      <c r="V2678" s="1">
        <v>0</v>
      </c>
      <c r="W2678" s="1">
        <v>50000</v>
      </c>
      <c r="X2678" s="1">
        <v>0</v>
      </c>
      <c r="Y2678" s="1">
        <v>0</v>
      </c>
      <c r="Z2678" s="1">
        <v>0</v>
      </c>
      <c r="AA2678" s="1">
        <v>0</v>
      </c>
      <c r="AB2678" s="1">
        <v>0</v>
      </c>
      <c r="AC2678" s="1">
        <v>0</v>
      </c>
      <c r="AD2678" s="1">
        <v>0</v>
      </c>
    </row>
    <row r="2679" spans="1:30" s="20" customFormat="1" ht="36" customHeight="1" x14ac:dyDescent="0.25">
      <c r="A2679" s="2">
        <f t="shared" si="1478"/>
        <v>2594</v>
      </c>
      <c r="B2679" s="6">
        <f t="shared" si="1448"/>
        <v>2594</v>
      </c>
      <c r="C2679" s="19" t="s">
        <v>2198</v>
      </c>
      <c r="D2679" s="4">
        <f t="shared" si="1475"/>
        <v>1386569</v>
      </c>
      <c r="E2679" s="1">
        <f t="shared" ref="E2679" si="1490">SUM(F2679:J2679)</f>
        <v>1336569</v>
      </c>
      <c r="F2679" s="1">
        <f>804*398.5</f>
        <v>320394</v>
      </c>
      <c r="G2679" s="1">
        <f>1693*398.5</f>
        <v>674660.5</v>
      </c>
      <c r="H2679" s="1">
        <f>390*398.5</f>
        <v>155415</v>
      </c>
      <c r="I2679" s="1">
        <v>0</v>
      </c>
      <c r="J2679" s="1">
        <f>467*398.5</f>
        <v>186099.5</v>
      </c>
      <c r="K2679" s="1">
        <v>0</v>
      </c>
      <c r="L2679" s="2">
        <v>0</v>
      </c>
      <c r="M2679" s="1">
        <v>0</v>
      </c>
      <c r="N2679" s="1">
        <v>0</v>
      </c>
      <c r="O2679" s="1">
        <f t="shared" si="1480"/>
        <v>0</v>
      </c>
      <c r="P2679" s="1">
        <v>0</v>
      </c>
      <c r="Q2679" s="1">
        <f t="shared" ref="Q2679" si="1491">P2679*1400</f>
        <v>0</v>
      </c>
      <c r="R2679" s="1">
        <v>0</v>
      </c>
      <c r="S2679" s="1">
        <f t="shared" si="1454"/>
        <v>0</v>
      </c>
      <c r="T2679" s="1">
        <v>0</v>
      </c>
      <c r="U2679" s="1">
        <v>50000</v>
      </c>
      <c r="V2679" s="1">
        <v>0</v>
      </c>
      <c r="W2679" s="1">
        <v>0</v>
      </c>
      <c r="X2679" s="1">
        <v>0</v>
      </c>
      <c r="Y2679" s="1">
        <v>0</v>
      </c>
      <c r="Z2679" s="1">
        <v>0</v>
      </c>
      <c r="AA2679" s="1">
        <v>0</v>
      </c>
      <c r="AB2679" s="1">
        <v>0</v>
      </c>
      <c r="AC2679" s="1">
        <v>0</v>
      </c>
      <c r="AD2679" s="1">
        <v>0</v>
      </c>
    </row>
    <row r="2680" spans="1:30" s="20" customFormat="1" ht="36" customHeight="1" x14ac:dyDescent="0.25">
      <c r="A2680" s="2">
        <f t="shared" si="1478"/>
        <v>2595</v>
      </c>
      <c r="B2680" s="3">
        <f t="shared" si="1448"/>
        <v>2595</v>
      </c>
      <c r="C2680" s="19" t="s">
        <v>1564</v>
      </c>
      <c r="D2680" s="4">
        <f t="shared" si="1475"/>
        <v>4603960.3900000006</v>
      </c>
      <c r="E2680" s="1">
        <f t="shared" si="1476"/>
        <v>548279.49</v>
      </c>
      <c r="F2680" s="1">
        <f>804*330.09</f>
        <v>265392.36</v>
      </c>
      <c r="G2680" s="1">
        <v>0</v>
      </c>
      <c r="H2680" s="1">
        <f>390*330.09</f>
        <v>128735.09999999999</v>
      </c>
      <c r="I2680" s="1">
        <v>0</v>
      </c>
      <c r="J2680" s="1">
        <f>467*330.09</f>
        <v>154152.03</v>
      </c>
      <c r="K2680" s="1">
        <v>0</v>
      </c>
      <c r="L2680" s="2">
        <v>0</v>
      </c>
      <c r="M2680" s="1">
        <v>0</v>
      </c>
      <c r="N2680" s="35">
        <v>330.9</v>
      </c>
      <c r="O2680" s="1">
        <f t="shared" si="1480"/>
        <v>2564475</v>
      </c>
      <c r="P2680" s="1">
        <v>0</v>
      </c>
      <c r="Q2680" s="1">
        <f t="shared" si="1477"/>
        <v>0</v>
      </c>
      <c r="R2680" s="35">
        <v>330.9</v>
      </c>
      <c r="S2680" s="1">
        <f t="shared" si="1454"/>
        <v>1241205.8999999999</v>
      </c>
      <c r="T2680" s="1">
        <v>150000</v>
      </c>
      <c r="U2680" s="1">
        <v>50000</v>
      </c>
      <c r="V2680" s="1">
        <v>0</v>
      </c>
      <c r="W2680" s="1">
        <v>50000</v>
      </c>
      <c r="X2680" s="1">
        <v>0</v>
      </c>
      <c r="Y2680" s="1">
        <v>0</v>
      </c>
      <c r="Z2680" s="1">
        <v>0</v>
      </c>
      <c r="AA2680" s="1">
        <v>0</v>
      </c>
      <c r="AB2680" s="1">
        <v>0</v>
      </c>
      <c r="AC2680" s="1">
        <v>0</v>
      </c>
      <c r="AD2680" s="1">
        <v>0</v>
      </c>
    </row>
    <row r="2681" spans="1:30" s="20" customFormat="1" ht="36" customHeight="1" x14ac:dyDescent="0.25">
      <c r="A2681" s="2">
        <f t="shared" si="1478"/>
        <v>2596</v>
      </c>
      <c r="B2681" s="6">
        <f t="shared" si="1448"/>
        <v>2596</v>
      </c>
      <c r="C2681" s="19" t="s">
        <v>2199</v>
      </c>
      <c r="D2681" s="4">
        <f t="shared" si="1475"/>
        <v>5349463.5999999996</v>
      </c>
      <c r="E2681" s="1">
        <f t="shared" ref="E2681" si="1492">SUM(F2681:J2681)</f>
        <v>348453.6</v>
      </c>
      <c r="F2681" s="1">
        <f>804*433.4</f>
        <v>348453.6</v>
      </c>
      <c r="G2681" s="1">
        <v>0</v>
      </c>
      <c r="H2681" s="1">
        <v>0</v>
      </c>
      <c r="I2681" s="1">
        <v>0</v>
      </c>
      <c r="J2681" s="1">
        <v>0</v>
      </c>
      <c r="K2681" s="1">
        <v>0</v>
      </c>
      <c r="L2681" s="2">
        <v>0</v>
      </c>
      <c r="M2681" s="1">
        <v>0</v>
      </c>
      <c r="N2681" s="1">
        <v>392</v>
      </c>
      <c r="O2681" s="1">
        <f t="shared" si="1480"/>
        <v>3038000</v>
      </c>
      <c r="P2681" s="1">
        <v>0</v>
      </c>
      <c r="Q2681" s="1">
        <f t="shared" ref="Q2681" si="1493">P2681*1400</f>
        <v>0</v>
      </c>
      <c r="R2681" s="1">
        <v>510</v>
      </c>
      <c r="S2681" s="1">
        <f t="shared" si="1454"/>
        <v>1913010</v>
      </c>
      <c r="T2681" s="1">
        <v>0</v>
      </c>
      <c r="U2681" s="1">
        <v>50000</v>
      </c>
      <c r="V2681" s="1">
        <v>0</v>
      </c>
      <c r="W2681" s="1">
        <v>0</v>
      </c>
      <c r="X2681" s="1">
        <v>0</v>
      </c>
      <c r="Y2681" s="1">
        <v>0</v>
      </c>
      <c r="Z2681" s="1">
        <v>0</v>
      </c>
      <c r="AA2681" s="1">
        <v>0</v>
      </c>
      <c r="AB2681" s="1">
        <v>0</v>
      </c>
      <c r="AC2681" s="1">
        <v>0</v>
      </c>
      <c r="AD2681" s="1">
        <v>0</v>
      </c>
    </row>
    <row r="2682" spans="1:30" s="20" customFormat="1" ht="36" customHeight="1" x14ac:dyDescent="0.25">
      <c r="A2682" s="2">
        <f t="shared" si="1478"/>
        <v>2597</v>
      </c>
      <c r="B2682" s="6">
        <f t="shared" ref="B2682" si="1494">A2682</f>
        <v>2597</v>
      </c>
      <c r="C2682" s="19" t="s">
        <v>2200</v>
      </c>
      <c r="D2682" s="4">
        <f t="shared" si="1475"/>
        <v>6854358.5999999996</v>
      </c>
      <c r="E2682" s="1">
        <f t="shared" ref="E2682" si="1495">SUM(F2682:J2682)</f>
        <v>348453.6</v>
      </c>
      <c r="F2682" s="1">
        <f>804*433.4</f>
        <v>348453.6</v>
      </c>
      <c r="G2682" s="1">
        <v>0</v>
      </c>
      <c r="H2682" s="1">
        <v>0</v>
      </c>
      <c r="I2682" s="1">
        <v>0</v>
      </c>
      <c r="J2682" s="1">
        <v>0</v>
      </c>
      <c r="K2682" s="1">
        <v>0</v>
      </c>
      <c r="L2682" s="2">
        <v>0</v>
      </c>
      <c r="M2682" s="1">
        <v>0</v>
      </c>
      <c r="N2682" s="1">
        <v>516</v>
      </c>
      <c r="O2682" s="1">
        <f t="shared" si="1480"/>
        <v>3999000</v>
      </c>
      <c r="P2682" s="1">
        <v>0</v>
      </c>
      <c r="Q2682" s="1">
        <f t="shared" si="1477"/>
        <v>0</v>
      </c>
      <c r="R2682" s="1">
        <v>655</v>
      </c>
      <c r="S2682" s="1">
        <f t="shared" ref="S2682" si="1496">R2682*3751</f>
        <v>2456905</v>
      </c>
      <c r="T2682" s="1">
        <v>0</v>
      </c>
      <c r="U2682" s="1">
        <v>50000</v>
      </c>
      <c r="V2682" s="1">
        <v>0</v>
      </c>
      <c r="W2682" s="1">
        <v>0</v>
      </c>
      <c r="X2682" s="1">
        <v>0</v>
      </c>
      <c r="Y2682" s="1">
        <v>0</v>
      </c>
      <c r="Z2682" s="1">
        <v>0</v>
      </c>
      <c r="AA2682" s="1">
        <v>0</v>
      </c>
      <c r="AB2682" s="1">
        <v>0</v>
      </c>
      <c r="AC2682" s="1">
        <v>0</v>
      </c>
      <c r="AD2682" s="1">
        <v>0</v>
      </c>
    </row>
    <row r="2683" spans="1:30" s="20" customFormat="1" ht="36" customHeight="1" x14ac:dyDescent="0.25">
      <c r="A2683" s="2">
        <f t="shared" si="1478"/>
        <v>2598</v>
      </c>
      <c r="B2683" s="3">
        <f t="shared" si="1448"/>
        <v>2598</v>
      </c>
      <c r="C2683" s="19" t="s">
        <v>1565</v>
      </c>
      <c r="D2683" s="4">
        <f t="shared" si="1475"/>
        <v>2015813.5</v>
      </c>
      <c r="E2683" s="1">
        <f t="shared" si="1476"/>
        <v>813059.5</v>
      </c>
      <c r="F2683" s="1">
        <f>804*489.5</f>
        <v>393558</v>
      </c>
      <c r="G2683" s="1">
        <v>0</v>
      </c>
      <c r="H2683" s="1">
        <f>390*489.5</f>
        <v>190905</v>
      </c>
      <c r="I2683" s="1">
        <v>0</v>
      </c>
      <c r="J2683" s="1">
        <f>467*489.5</f>
        <v>228596.5</v>
      </c>
      <c r="K2683" s="1">
        <v>0</v>
      </c>
      <c r="L2683" s="2">
        <v>0</v>
      </c>
      <c r="M2683" s="1">
        <v>0</v>
      </c>
      <c r="N2683" s="1">
        <v>0</v>
      </c>
      <c r="O2683" s="1">
        <v>0</v>
      </c>
      <c r="P2683" s="1">
        <v>0</v>
      </c>
      <c r="Q2683" s="1">
        <f t="shared" si="1477"/>
        <v>0</v>
      </c>
      <c r="R2683" s="1">
        <v>254</v>
      </c>
      <c r="S2683" s="1">
        <f t="shared" si="1454"/>
        <v>952754</v>
      </c>
      <c r="T2683" s="1">
        <v>150000</v>
      </c>
      <c r="U2683" s="1">
        <v>50000</v>
      </c>
      <c r="V2683" s="1">
        <v>0</v>
      </c>
      <c r="W2683" s="1">
        <v>50000</v>
      </c>
      <c r="X2683" s="1">
        <v>0</v>
      </c>
      <c r="Y2683" s="1">
        <v>0</v>
      </c>
      <c r="Z2683" s="1">
        <v>0</v>
      </c>
      <c r="AA2683" s="1">
        <v>0</v>
      </c>
      <c r="AB2683" s="1">
        <v>0</v>
      </c>
      <c r="AC2683" s="1">
        <v>0</v>
      </c>
      <c r="AD2683" s="1">
        <v>0</v>
      </c>
    </row>
    <row r="2684" spans="1:30" s="20" customFormat="1" ht="36" customHeight="1" x14ac:dyDescent="0.25">
      <c r="A2684" s="2">
        <f t="shared" si="1478"/>
        <v>2599</v>
      </c>
      <c r="B2684" s="3">
        <f t="shared" si="1448"/>
        <v>2599</v>
      </c>
      <c r="C2684" s="19" t="s">
        <v>1566</v>
      </c>
      <c r="D2684" s="4">
        <f t="shared" si="1475"/>
        <v>1723215.7</v>
      </c>
      <c r="E2684" s="1">
        <f t="shared" si="1476"/>
        <v>569224.69999999995</v>
      </c>
      <c r="F2684" s="1">
        <f>804*342.7</f>
        <v>275530.8</v>
      </c>
      <c r="G2684" s="1">
        <v>0</v>
      </c>
      <c r="H2684" s="1">
        <f>390*342.7</f>
        <v>133653</v>
      </c>
      <c r="I2684" s="1">
        <v>0</v>
      </c>
      <c r="J2684" s="1">
        <f>467*342.7</f>
        <v>160040.9</v>
      </c>
      <c r="K2684" s="1">
        <v>0</v>
      </c>
      <c r="L2684" s="2">
        <v>0</v>
      </c>
      <c r="M2684" s="1">
        <v>0</v>
      </c>
      <c r="N2684" s="1">
        <v>0</v>
      </c>
      <c r="O2684" s="1">
        <v>0</v>
      </c>
      <c r="P2684" s="1">
        <v>0</v>
      </c>
      <c r="Q2684" s="1">
        <f t="shared" si="1477"/>
        <v>0</v>
      </c>
      <c r="R2684" s="1">
        <v>241</v>
      </c>
      <c r="S2684" s="1">
        <f t="shared" si="1454"/>
        <v>903991</v>
      </c>
      <c r="T2684" s="1">
        <v>150000</v>
      </c>
      <c r="U2684" s="1">
        <v>50000</v>
      </c>
      <c r="V2684" s="1">
        <v>0</v>
      </c>
      <c r="W2684" s="1">
        <v>50000</v>
      </c>
      <c r="X2684" s="1">
        <v>0</v>
      </c>
      <c r="Y2684" s="1">
        <v>0</v>
      </c>
      <c r="Z2684" s="1">
        <v>0</v>
      </c>
      <c r="AA2684" s="1">
        <v>0</v>
      </c>
      <c r="AB2684" s="1">
        <v>0</v>
      </c>
      <c r="AC2684" s="1">
        <v>0</v>
      </c>
      <c r="AD2684" s="1">
        <v>0</v>
      </c>
    </row>
    <row r="2685" spans="1:30" s="20" customFormat="1" ht="36" customHeight="1" x14ac:dyDescent="0.25">
      <c r="A2685" s="2">
        <f t="shared" si="1478"/>
        <v>2600</v>
      </c>
      <c r="B2685" s="3">
        <f t="shared" si="1448"/>
        <v>2600</v>
      </c>
      <c r="C2685" s="19" t="s">
        <v>2617</v>
      </c>
      <c r="D2685" s="4">
        <f t="shared" si="1475"/>
        <v>11050342.34</v>
      </c>
      <c r="E2685" s="1">
        <f t="shared" si="1476"/>
        <v>1362966.77</v>
      </c>
      <c r="F2685" s="1">
        <f>804*820.57</f>
        <v>659738.28</v>
      </c>
      <c r="G2685" s="1">
        <v>0</v>
      </c>
      <c r="H2685" s="1">
        <f>390*820.57</f>
        <v>320022.30000000005</v>
      </c>
      <c r="I2685" s="1">
        <v>0</v>
      </c>
      <c r="J2685" s="1">
        <f>467*820.57</f>
        <v>383206.19</v>
      </c>
      <c r="K2685" s="1">
        <v>0</v>
      </c>
      <c r="L2685" s="2">
        <v>0</v>
      </c>
      <c r="M2685" s="1">
        <v>0</v>
      </c>
      <c r="N2685" s="35">
        <v>820.57</v>
      </c>
      <c r="O2685" s="1">
        <f>N2685*7750</f>
        <v>6359417.5</v>
      </c>
      <c r="P2685" s="1">
        <v>0</v>
      </c>
      <c r="Q2685" s="1">
        <f t="shared" si="1477"/>
        <v>0</v>
      </c>
      <c r="R2685" s="35">
        <v>820.57</v>
      </c>
      <c r="S2685" s="1">
        <f t="shared" si="1454"/>
        <v>3077958.0700000003</v>
      </c>
      <c r="T2685" s="1">
        <v>150000</v>
      </c>
      <c r="U2685" s="1">
        <v>50000</v>
      </c>
      <c r="V2685" s="1">
        <v>0</v>
      </c>
      <c r="W2685" s="1">
        <v>50000</v>
      </c>
      <c r="X2685" s="1">
        <v>0</v>
      </c>
      <c r="Y2685" s="1">
        <v>0</v>
      </c>
      <c r="Z2685" s="1">
        <v>0</v>
      </c>
      <c r="AA2685" s="1">
        <v>0</v>
      </c>
      <c r="AB2685" s="1">
        <v>0</v>
      </c>
      <c r="AC2685" s="1">
        <v>0</v>
      </c>
      <c r="AD2685" s="1">
        <v>0</v>
      </c>
    </row>
    <row r="2686" spans="1:30" s="20" customFormat="1" ht="36" customHeight="1" x14ac:dyDescent="0.25">
      <c r="A2686" s="2">
        <f t="shared" si="1478"/>
        <v>2601</v>
      </c>
      <c r="B2686" s="3">
        <f t="shared" si="1448"/>
        <v>2601</v>
      </c>
      <c r="C2686" s="19" t="s">
        <v>2618</v>
      </c>
      <c r="D2686" s="4">
        <f t="shared" si="1475"/>
        <v>10184545.98</v>
      </c>
      <c r="E2686" s="1">
        <f t="shared" si="1476"/>
        <v>1253706.19</v>
      </c>
      <c r="F2686" s="1">
        <f>804*754.79</f>
        <v>606851.15999999992</v>
      </c>
      <c r="G2686" s="1">
        <v>0</v>
      </c>
      <c r="H2686" s="1">
        <f>390*754.79</f>
        <v>294368.09999999998</v>
      </c>
      <c r="I2686" s="1">
        <v>0</v>
      </c>
      <c r="J2686" s="1">
        <f>467*754.79</f>
        <v>352486.93</v>
      </c>
      <c r="K2686" s="1">
        <v>0</v>
      </c>
      <c r="L2686" s="2">
        <v>0</v>
      </c>
      <c r="M2686" s="1">
        <v>0</v>
      </c>
      <c r="N2686" s="35">
        <v>754.79</v>
      </c>
      <c r="O2686" s="1">
        <f>N2686*7750</f>
        <v>5849622.5</v>
      </c>
      <c r="P2686" s="1">
        <v>0</v>
      </c>
      <c r="Q2686" s="1">
        <f t="shared" si="1477"/>
        <v>0</v>
      </c>
      <c r="R2686" s="35">
        <v>754.79</v>
      </c>
      <c r="S2686" s="1">
        <f t="shared" si="1454"/>
        <v>2831217.29</v>
      </c>
      <c r="T2686" s="1">
        <v>150000</v>
      </c>
      <c r="U2686" s="1">
        <v>50000</v>
      </c>
      <c r="V2686" s="1">
        <v>0</v>
      </c>
      <c r="W2686" s="1">
        <v>50000</v>
      </c>
      <c r="X2686" s="1">
        <v>0</v>
      </c>
      <c r="Y2686" s="1">
        <v>0</v>
      </c>
      <c r="Z2686" s="1">
        <v>0</v>
      </c>
      <c r="AA2686" s="1">
        <v>0</v>
      </c>
      <c r="AB2686" s="1">
        <v>0</v>
      </c>
      <c r="AC2686" s="1">
        <v>0</v>
      </c>
      <c r="AD2686" s="1">
        <v>0</v>
      </c>
    </row>
    <row r="2687" spans="1:30" s="20" customFormat="1" ht="54.95" customHeight="1" x14ac:dyDescent="0.25">
      <c r="A2687" s="3"/>
      <c r="B2687" s="47" t="s">
        <v>1984</v>
      </c>
      <c r="C2687" s="48"/>
      <c r="D2687" s="4">
        <f>SUM(D2688:D2689)</f>
        <v>8021284.7999999998</v>
      </c>
      <c r="E2687" s="4">
        <f t="shared" ref="E2687:AD2687" si="1497">SUM(E2688:E2689)</f>
        <v>451459.80000000005</v>
      </c>
      <c r="F2687" s="4">
        <f t="shared" si="1497"/>
        <v>218527.2</v>
      </c>
      <c r="G2687" s="4">
        <f t="shared" si="1497"/>
        <v>0</v>
      </c>
      <c r="H2687" s="4">
        <f t="shared" si="1497"/>
        <v>106002</v>
      </c>
      <c r="I2687" s="4">
        <f t="shared" si="1497"/>
        <v>0</v>
      </c>
      <c r="J2687" s="4">
        <f t="shared" si="1497"/>
        <v>126930.6</v>
      </c>
      <c r="K2687" s="4">
        <f t="shared" si="1497"/>
        <v>0</v>
      </c>
      <c r="L2687" s="17">
        <f t="shared" si="1497"/>
        <v>0</v>
      </c>
      <c r="M2687" s="4">
        <f t="shared" si="1497"/>
        <v>0</v>
      </c>
      <c r="N2687" s="4">
        <f t="shared" si="1497"/>
        <v>571</v>
      </c>
      <c r="O2687" s="4">
        <f t="shared" si="1497"/>
        <v>4425250</v>
      </c>
      <c r="P2687" s="4">
        <f t="shared" si="1497"/>
        <v>0</v>
      </c>
      <c r="Q2687" s="4">
        <f t="shared" si="1497"/>
        <v>0</v>
      </c>
      <c r="R2687" s="4">
        <f t="shared" si="1497"/>
        <v>825</v>
      </c>
      <c r="S2687" s="4">
        <f t="shared" si="1497"/>
        <v>3094575</v>
      </c>
      <c r="T2687" s="4">
        <f t="shared" si="1497"/>
        <v>0</v>
      </c>
      <c r="U2687" s="4">
        <f t="shared" si="1497"/>
        <v>50000</v>
      </c>
      <c r="V2687" s="4">
        <f t="shared" si="1497"/>
        <v>0</v>
      </c>
      <c r="W2687" s="4">
        <f t="shared" si="1497"/>
        <v>0</v>
      </c>
      <c r="X2687" s="4">
        <f t="shared" si="1497"/>
        <v>0</v>
      </c>
      <c r="Y2687" s="4">
        <f t="shared" si="1497"/>
        <v>0</v>
      </c>
      <c r="Z2687" s="4">
        <f t="shared" si="1497"/>
        <v>0</v>
      </c>
      <c r="AA2687" s="4">
        <f t="shared" si="1497"/>
        <v>0</v>
      </c>
      <c r="AB2687" s="4">
        <f t="shared" si="1497"/>
        <v>0</v>
      </c>
      <c r="AC2687" s="4">
        <f t="shared" si="1497"/>
        <v>0</v>
      </c>
      <c r="AD2687" s="4">
        <f t="shared" si="1497"/>
        <v>0</v>
      </c>
    </row>
    <row r="2688" spans="1:30" s="20" customFormat="1" ht="36" customHeight="1" x14ac:dyDescent="0.25">
      <c r="A2688" s="2">
        <f>ROW()-ROW($A$11)-75</f>
        <v>2602</v>
      </c>
      <c r="B2688" s="3">
        <f t="shared" ref="B2688" si="1498">A2688</f>
        <v>2602</v>
      </c>
      <c r="C2688" s="19" t="s">
        <v>2201</v>
      </c>
      <c r="D2688" s="4">
        <f>E2688+M2688+O2688+Q2688+S2688+T2688+U2688+V2688+W2688+X2688+Z2688+AA2688+AB2688+AC2688+AD2688</f>
        <v>4166710</v>
      </c>
      <c r="E2688" s="1">
        <f t="shared" ref="E2688" si="1499">SUM(F2688:K2688)</f>
        <v>0</v>
      </c>
      <c r="F2688" s="1">
        <v>0</v>
      </c>
      <c r="G2688" s="1">
        <v>0</v>
      </c>
      <c r="H2688" s="1">
        <v>0</v>
      </c>
      <c r="I2688" s="1">
        <v>0</v>
      </c>
      <c r="J2688" s="1">
        <v>0</v>
      </c>
      <c r="K2688" s="1">
        <v>0</v>
      </c>
      <c r="L2688" s="2">
        <v>0</v>
      </c>
      <c r="M2688" s="1">
        <v>0</v>
      </c>
      <c r="N2688" s="1">
        <v>315</v>
      </c>
      <c r="O2688" s="1">
        <f>N2688*7750</f>
        <v>2441250</v>
      </c>
      <c r="P2688" s="1">
        <v>0</v>
      </c>
      <c r="Q2688" s="1">
        <f t="shared" ref="Q2688" si="1500">P2688*1400</f>
        <v>0</v>
      </c>
      <c r="R2688" s="1">
        <v>460</v>
      </c>
      <c r="S2688" s="1">
        <f t="shared" ref="S2688" si="1501">R2688*3751</f>
        <v>1725460</v>
      </c>
      <c r="T2688" s="1">
        <v>0</v>
      </c>
      <c r="U2688" s="1">
        <v>0</v>
      </c>
      <c r="V2688" s="1">
        <v>0</v>
      </c>
      <c r="W2688" s="1">
        <v>0</v>
      </c>
      <c r="X2688" s="1">
        <v>0</v>
      </c>
      <c r="Y2688" s="1">
        <v>0</v>
      </c>
      <c r="Z2688" s="1">
        <v>0</v>
      </c>
      <c r="AA2688" s="1">
        <v>0</v>
      </c>
      <c r="AB2688" s="1">
        <v>0</v>
      </c>
      <c r="AC2688" s="1">
        <v>0</v>
      </c>
      <c r="AD2688" s="1">
        <v>0</v>
      </c>
    </row>
    <row r="2689" spans="1:30" s="20" customFormat="1" ht="36" customHeight="1" x14ac:dyDescent="0.25">
      <c r="A2689" s="2">
        <f>ROW()-ROW($A$11)-75</f>
        <v>2603</v>
      </c>
      <c r="B2689" s="3">
        <f t="shared" ref="B2689" si="1502">A2689</f>
        <v>2603</v>
      </c>
      <c r="C2689" s="19" t="s">
        <v>2202</v>
      </c>
      <c r="D2689" s="4">
        <f>E2689+M2689+O2689+Q2689+S2689+T2689+U2689+V2689+W2689+X2689+Z2689+AA2689+AB2689+AC2689+AD2689</f>
        <v>3854574.8</v>
      </c>
      <c r="E2689" s="1">
        <f t="shared" ref="E2689" si="1503">SUM(F2689:K2689)</f>
        <v>451459.80000000005</v>
      </c>
      <c r="F2689" s="1">
        <f>804*271.8</f>
        <v>218527.2</v>
      </c>
      <c r="G2689" s="1">
        <v>0</v>
      </c>
      <c r="H2689" s="1">
        <f>390*271.8</f>
        <v>106002</v>
      </c>
      <c r="I2689" s="1">
        <v>0</v>
      </c>
      <c r="J2689" s="1">
        <f>467*271.8</f>
        <v>126930.6</v>
      </c>
      <c r="K2689" s="1">
        <v>0</v>
      </c>
      <c r="L2689" s="2">
        <v>0</v>
      </c>
      <c r="M2689" s="1">
        <v>0</v>
      </c>
      <c r="N2689" s="1">
        <v>256</v>
      </c>
      <c r="O2689" s="1">
        <f>N2689*7750</f>
        <v>1984000</v>
      </c>
      <c r="P2689" s="1">
        <v>0</v>
      </c>
      <c r="Q2689" s="1">
        <f t="shared" ref="Q2689" si="1504">P2689*1400</f>
        <v>0</v>
      </c>
      <c r="R2689" s="1">
        <v>365</v>
      </c>
      <c r="S2689" s="1">
        <f t="shared" ref="S2689" si="1505">R2689*3751</f>
        <v>1369115</v>
      </c>
      <c r="T2689" s="1">
        <v>0</v>
      </c>
      <c r="U2689" s="1">
        <v>50000</v>
      </c>
      <c r="V2689" s="1">
        <v>0</v>
      </c>
      <c r="W2689" s="1">
        <v>0</v>
      </c>
      <c r="X2689" s="1">
        <v>0</v>
      </c>
      <c r="Y2689" s="1">
        <v>0</v>
      </c>
      <c r="Z2689" s="1">
        <v>0</v>
      </c>
      <c r="AA2689" s="1">
        <v>0</v>
      </c>
      <c r="AB2689" s="1">
        <v>0</v>
      </c>
      <c r="AC2689" s="1">
        <v>0</v>
      </c>
      <c r="AD2689" s="1">
        <v>0</v>
      </c>
    </row>
    <row r="2690" spans="1:30" s="20" customFormat="1" ht="54.95" customHeight="1" x14ac:dyDescent="0.25">
      <c r="A2690" s="3"/>
      <c r="B2690" s="47" t="s">
        <v>1985</v>
      </c>
      <c r="C2690" s="48"/>
      <c r="D2690" s="4">
        <f>SUM(D2691:D2698)</f>
        <v>49611765.640000001</v>
      </c>
      <c r="E2690" s="4">
        <f t="shared" ref="E2690:AD2690" si="1506">SUM(E2691:E2698)</f>
        <v>11370886.640000001</v>
      </c>
      <c r="F2690" s="4">
        <f t="shared" si="1506"/>
        <v>3100167.7199999997</v>
      </c>
      <c r="G2690" s="4">
        <f t="shared" si="1506"/>
        <v>5918948.0899999999</v>
      </c>
      <c r="H2690" s="4">
        <f t="shared" si="1506"/>
        <v>1070234.1000000001</v>
      </c>
      <c r="I2690" s="4">
        <f t="shared" si="1506"/>
        <v>0</v>
      </c>
      <c r="J2690" s="4">
        <f t="shared" si="1506"/>
        <v>1281536.73</v>
      </c>
      <c r="K2690" s="4">
        <f t="shared" si="1506"/>
        <v>0</v>
      </c>
      <c r="L2690" s="17">
        <f t="shared" si="1506"/>
        <v>0</v>
      </c>
      <c r="M2690" s="4">
        <f t="shared" si="1506"/>
        <v>0</v>
      </c>
      <c r="N2690" s="4">
        <f t="shared" si="1506"/>
        <v>2489</v>
      </c>
      <c r="O2690" s="4">
        <f t="shared" si="1506"/>
        <v>19289750</v>
      </c>
      <c r="P2690" s="4">
        <f t="shared" si="1506"/>
        <v>0</v>
      </c>
      <c r="Q2690" s="4">
        <f t="shared" si="1506"/>
        <v>0</v>
      </c>
      <c r="R2690" s="4">
        <f t="shared" si="1506"/>
        <v>4879</v>
      </c>
      <c r="S2690" s="4">
        <f t="shared" si="1506"/>
        <v>18301129</v>
      </c>
      <c r="T2690" s="4">
        <f t="shared" si="1506"/>
        <v>0</v>
      </c>
      <c r="U2690" s="4">
        <f t="shared" si="1506"/>
        <v>350000</v>
      </c>
      <c r="V2690" s="4">
        <f t="shared" si="1506"/>
        <v>0</v>
      </c>
      <c r="W2690" s="4">
        <f t="shared" si="1506"/>
        <v>300000</v>
      </c>
      <c r="X2690" s="4">
        <f t="shared" si="1506"/>
        <v>0</v>
      </c>
      <c r="Y2690" s="4">
        <f t="shared" si="1506"/>
        <v>0</v>
      </c>
      <c r="Z2690" s="4">
        <f t="shared" si="1506"/>
        <v>0</v>
      </c>
      <c r="AA2690" s="4">
        <f t="shared" si="1506"/>
        <v>0</v>
      </c>
      <c r="AB2690" s="4">
        <f t="shared" si="1506"/>
        <v>0</v>
      </c>
      <c r="AC2690" s="4">
        <f t="shared" si="1506"/>
        <v>0</v>
      </c>
      <c r="AD2690" s="4">
        <f t="shared" si="1506"/>
        <v>0</v>
      </c>
    </row>
    <row r="2691" spans="1:30" s="20" customFormat="1" ht="36" customHeight="1" x14ac:dyDescent="0.25">
      <c r="A2691" s="2">
        <f>ROW()-ROW($A$11)-76</f>
        <v>2604</v>
      </c>
      <c r="B2691" s="3">
        <f t="shared" si="1448"/>
        <v>2604</v>
      </c>
      <c r="C2691" s="19" t="s">
        <v>1567</v>
      </c>
      <c r="D2691" s="4">
        <f t="shared" ref="D2691:D2698" si="1507">E2691+M2691+O2691+Q2691+S2691+T2691+U2691+V2691+W2691+X2691+Z2691+AA2691+AB2691+AC2691+AD2691</f>
        <v>4686236</v>
      </c>
      <c r="E2691" s="1">
        <f t="shared" ref="E2691:E2698" si="1508">SUM(F2691:K2691)</f>
        <v>0</v>
      </c>
      <c r="F2691" s="1">
        <v>0</v>
      </c>
      <c r="G2691" s="1">
        <v>0</v>
      </c>
      <c r="H2691" s="1">
        <v>0</v>
      </c>
      <c r="I2691" s="1">
        <v>0</v>
      </c>
      <c r="J2691" s="1">
        <v>0</v>
      </c>
      <c r="K2691" s="1">
        <v>0</v>
      </c>
      <c r="L2691" s="2">
        <v>0</v>
      </c>
      <c r="M2691" s="1">
        <v>0</v>
      </c>
      <c r="N2691" s="1">
        <v>0</v>
      </c>
      <c r="O2691" s="1">
        <v>0</v>
      </c>
      <c r="P2691" s="1">
        <v>0</v>
      </c>
      <c r="Q2691" s="1">
        <f t="shared" ref="Q2691:Q2698" si="1509">P2691*1400</f>
        <v>0</v>
      </c>
      <c r="R2691" s="1">
        <v>1236</v>
      </c>
      <c r="S2691" s="1">
        <f t="shared" ref="S2691:S2698" si="1510">R2691*3751</f>
        <v>4636236</v>
      </c>
      <c r="T2691" s="1">
        <v>0</v>
      </c>
      <c r="U2691" s="1">
        <v>0</v>
      </c>
      <c r="V2691" s="1">
        <v>0</v>
      </c>
      <c r="W2691" s="1">
        <v>50000</v>
      </c>
      <c r="X2691" s="1">
        <v>0</v>
      </c>
      <c r="Y2691" s="1">
        <v>0</v>
      </c>
      <c r="Z2691" s="1">
        <v>0</v>
      </c>
      <c r="AA2691" s="1">
        <v>0</v>
      </c>
      <c r="AB2691" s="1">
        <v>0</v>
      </c>
      <c r="AC2691" s="1">
        <v>0</v>
      </c>
      <c r="AD2691" s="1">
        <v>0</v>
      </c>
    </row>
    <row r="2692" spans="1:30" s="20" customFormat="1" ht="36" customHeight="1" x14ac:dyDescent="0.25">
      <c r="A2692" s="2">
        <f t="shared" ref="A2692:A2698" si="1511">ROW()-ROW($A$11)-76</f>
        <v>2605</v>
      </c>
      <c r="B2692" s="3">
        <f t="shared" ref="B2692" si="1512">A2692</f>
        <v>2605</v>
      </c>
      <c r="C2692" s="19" t="s">
        <v>2203</v>
      </c>
      <c r="D2692" s="4">
        <f t="shared" si="1507"/>
        <v>7542124.3900000006</v>
      </c>
      <c r="E2692" s="1">
        <f t="shared" ref="E2692" si="1513">SUM(F2692:K2692)</f>
        <v>1388007.3900000001</v>
      </c>
      <c r="F2692" s="1">
        <f>804*555.87</f>
        <v>446919.48</v>
      </c>
      <c r="G2692" s="1">
        <f>1693*555.87</f>
        <v>941087.91</v>
      </c>
      <c r="H2692" s="1">
        <v>0</v>
      </c>
      <c r="I2692" s="1">
        <v>0</v>
      </c>
      <c r="J2692" s="1">
        <v>0</v>
      </c>
      <c r="K2692" s="1">
        <v>0</v>
      </c>
      <c r="L2692" s="2">
        <v>0</v>
      </c>
      <c r="M2692" s="1">
        <v>0</v>
      </c>
      <c r="N2692" s="1">
        <v>489</v>
      </c>
      <c r="O2692" s="1">
        <f>N2692*7750</f>
        <v>3789750</v>
      </c>
      <c r="P2692" s="1">
        <v>0</v>
      </c>
      <c r="Q2692" s="1">
        <f t="shared" ref="Q2692" si="1514">P2692*1400</f>
        <v>0</v>
      </c>
      <c r="R2692" s="1">
        <v>617</v>
      </c>
      <c r="S2692" s="1">
        <f t="shared" ref="S2692" si="1515">R2692*3751</f>
        <v>2314367</v>
      </c>
      <c r="T2692" s="1">
        <v>0</v>
      </c>
      <c r="U2692" s="1">
        <v>50000</v>
      </c>
      <c r="V2692" s="1">
        <v>0</v>
      </c>
      <c r="W2692" s="1">
        <v>0</v>
      </c>
      <c r="X2692" s="1">
        <v>0</v>
      </c>
      <c r="Y2692" s="1">
        <v>0</v>
      </c>
      <c r="Z2692" s="1">
        <v>0</v>
      </c>
      <c r="AA2692" s="1">
        <v>0</v>
      </c>
      <c r="AB2692" s="1">
        <v>0</v>
      </c>
      <c r="AC2692" s="1">
        <v>0</v>
      </c>
      <c r="AD2692" s="1">
        <v>0</v>
      </c>
    </row>
    <row r="2693" spans="1:30" s="20" customFormat="1" ht="36" customHeight="1" x14ac:dyDescent="0.25">
      <c r="A2693" s="2">
        <f t="shared" si="1511"/>
        <v>2606</v>
      </c>
      <c r="B2693" s="3">
        <f t="shared" si="1448"/>
        <v>2606</v>
      </c>
      <c r="C2693" s="19" t="s">
        <v>2204</v>
      </c>
      <c r="D2693" s="4">
        <f t="shared" si="1507"/>
        <v>7747375.3900000006</v>
      </c>
      <c r="E2693" s="1">
        <f t="shared" si="1508"/>
        <v>1388007.3900000001</v>
      </c>
      <c r="F2693" s="1">
        <f>804*555.87</f>
        <v>446919.48</v>
      </c>
      <c r="G2693" s="1">
        <f>1693*555.87</f>
        <v>941087.91</v>
      </c>
      <c r="H2693" s="1">
        <v>0</v>
      </c>
      <c r="I2693" s="1">
        <v>0</v>
      </c>
      <c r="J2693" s="1">
        <v>0</v>
      </c>
      <c r="K2693" s="1">
        <v>0</v>
      </c>
      <c r="L2693" s="2">
        <v>0</v>
      </c>
      <c r="M2693" s="1">
        <v>0</v>
      </c>
      <c r="N2693" s="1">
        <v>515</v>
      </c>
      <c r="O2693" s="1">
        <f>N2693*7750</f>
        <v>3991250</v>
      </c>
      <c r="P2693" s="1">
        <v>0</v>
      </c>
      <c r="Q2693" s="1">
        <f t="shared" si="1509"/>
        <v>0</v>
      </c>
      <c r="R2693" s="1">
        <v>618</v>
      </c>
      <c r="S2693" s="1">
        <f t="shared" si="1510"/>
        <v>2318118</v>
      </c>
      <c r="T2693" s="1">
        <v>0</v>
      </c>
      <c r="U2693" s="1">
        <v>50000</v>
      </c>
      <c r="V2693" s="1">
        <v>0</v>
      </c>
      <c r="W2693" s="1">
        <v>0</v>
      </c>
      <c r="X2693" s="1">
        <v>0</v>
      </c>
      <c r="Y2693" s="1">
        <v>0</v>
      </c>
      <c r="Z2693" s="1">
        <v>0</v>
      </c>
      <c r="AA2693" s="1">
        <v>0</v>
      </c>
      <c r="AB2693" s="1">
        <v>0</v>
      </c>
      <c r="AC2693" s="1">
        <v>0</v>
      </c>
      <c r="AD2693" s="1">
        <v>0</v>
      </c>
    </row>
    <row r="2694" spans="1:30" s="20" customFormat="1" ht="36" customHeight="1" x14ac:dyDescent="0.25">
      <c r="A2694" s="2">
        <f t="shared" si="1511"/>
        <v>2607</v>
      </c>
      <c r="B2694" s="3">
        <f t="shared" ref="B2694" si="1516">A2694</f>
        <v>2607</v>
      </c>
      <c r="C2694" s="19" t="s">
        <v>1787</v>
      </c>
      <c r="D2694" s="4">
        <f t="shared" si="1507"/>
        <v>3523818.38</v>
      </c>
      <c r="E2694" s="1">
        <f t="shared" si="1508"/>
        <v>1923418.3800000001</v>
      </c>
      <c r="F2694" s="1">
        <f>804*573.47</f>
        <v>461069.88</v>
      </c>
      <c r="G2694" s="1">
        <f>1693*573.47</f>
        <v>970884.71000000008</v>
      </c>
      <c r="H2694" s="1">
        <f>390*573.47</f>
        <v>223653.30000000002</v>
      </c>
      <c r="I2694" s="1">
        <v>0</v>
      </c>
      <c r="J2694" s="1">
        <f>467*573.47</f>
        <v>267810.49</v>
      </c>
      <c r="K2694" s="1">
        <v>0</v>
      </c>
      <c r="L2694" s="2">
        <v>0</v>
      </c>
      <c r="M2694" s="1">
        <v>0</v>
      </c>
      <c r="N2694" s="1">
        <v>0</v>
      </c>
      <c r="O2694" s="1">
        <f t="shared" ref="O2694:O2698" si="1517">N2694*7750</f>
        <v>0</v>
      </c>
      <c r="P2694" s="1">
        <v>0</v>
      </c>
      <c r="Q2694" s="1">
        <f t="shared" si="1509"/>
        <v>0</v>
      </c>
      <c r="R2694" s="1">
        <v>400</v>
      </c>
      <c r="S2694" s="1">
        <f t="shared" si="1510"/>
        <v>1500400</v>
      </c>
      <c r="T2694" s="1">
        <v>0</v>
      </c>
      <c r="U2694" s="1">
        <v>50000</v>
      </c>
      <c r="V2694" s="1">
        <v>0</v>
      </c>
      <c r="W2694" s="1">
        <v>50000</v>
      </c>
      <c r="X2694" s="1">
        <v>0</v>
      </c>
      <c r="Y2694" s="1">
        <v>0</v>
      </c>
      <c r="Z2694" s="1">
        <v>0</v>
      </c>
      <c r="AA2694" s="1">
        <v>0</v>
      </c>
      <c r="AB2694" s="1">
        <v>0</v>
      </c>
      <c r="AC2694" s="1">
        <v>0</v>
      </c>
      <c r="AD2694" s="1">
        <v>0</v>
      </c>
    </row>
    <row r="2695" spans="1:30" s="20" customFormat="1" ht="36" customHeight="1" x14ac:dyDescent="0.25">
      <c r="A2695" s="2">
        <f t="shared" si="1511"/>
        <v>2608</v>
      </c>
      <c r="B2695" s="3">
        <f t="shared" si="1448"/>
        <v>2608</v>
      </c>
      <c r="C2695" s="19" t="s">
        <v>1568</v>
      </c>
      <c r="D2695" s="4">
        <f t="shared" si="1507"/>
        <v>6775105.9000000004</v>
      </c>
      <c r="E2695" s="1">
        <f t="shared" si="1508"/>
        <v>1857612.9000000001</v>
      </c>
      <c r="F2695" s="1">
        <f>804*553.85</f>
        <v>445295.4</v>
      </c>
      <c r="G2695" s="1">
        <f>1693*553.85</f>
        <v>937668.05</v>
      </c>
      <c r="H2695" s="1">
        <f>390*553.85</f>
        <v>216001.5</v>
      </c>
      <c r="I2695" s="1">
        <v>0</v>
      </c>
      <c r="J2695" s="1">
        <f>467*553.85</f>
        <v>258647.95</v>
      </c>
      <c r="K2695" s="1">
        <v>0</v>
      </c>
      <c r="L2695" s="2">
        <v>0</v>
      </c>
      <c r="M2695" s="1">
        <v>0</v>
      </c>
      <c r="N2695" s="1">
        <v>383</v>
      </c>
      <c r="O2695" s="1">
        <f t="shared" si="1517"/>
        <v>2968250</v>
      </c>
      <c r="P2695" s="1">
        <v>0</v>
      </c>
      <c r="Q2695" s="1">
        <f t="shared" si="1509"/>
        <v>0</v>
      </c>
      <c r="R2695" s="1">
        <v>493</v>
      </c>
      <c r="S2695" s="1">
        <f t="shared" si="1510"/>
        <v>1849243</v>
      </c>
      <c r="T2695" s="1">
        <v>0</v>
      </c>
      <c r="U2695" s="1">
        <v>50000</v>
      </c>
      <c r="V2695" s="1">
        <v>0</v>
      </c>
      <c r="W2695" s="1">
        <v>50000</v>
      </c>
      <c r="X2695" s="1">
        <v>0</v>
      </c>
      <c r="Y2695" s="1">
        <v>0</v>
      </c>
      <c r="Z2695" s="1">
        <v>0</v>
      </c>
      <c r="AA2695" s="1">
        <v>0</v>
      </c>
      <c r="AB2695" s="1">
        <v>0</v>
      </c>
      <c r="AC2695" s="1">
        <v>0</v>
      </c>
      <c r="AD2695" s="1">
        <v>0</v>
      </c>
    </row>
    <row r="2696" spans="1:30" s="20" customFormat="1" ht="36" customHeight="1" x14ac:dyDescent="0.25">
      <c r="A2696" s="2">
        <f t="shared" si="1511"/>
        <v>2609</v>
      </c>
      <c r="B2696" s="3">
        <f t="shared" si="1448"/>
        <v>2609</v>
      </c>
      <c r="C2696" s="19" t="s">
        <v>1569</v>
      </c>
      <c r="D2696" s="4">
        <f t="shared" si="1507"/>
        <v>8895674.9800000004</v>
      </c>
      <c r="E2696" s="1">
        <f t="shared" si="1508"/>
        <v>2590528.98</v>
      </c>
      <c r="F2696" s="1">
        <f>804*772.37</f>
        <v>620985.48</v>
      </c>
      <c r="G2696" s="1">
        <f>1693*772.37</f>
        <v>1307622.4099999999</v>
      </c>
      <c r="H2696" s="1">
        <f>390*772.37</f>
        <v>301224.3</v>
      </c>
      <c r="I2696" s="1">
        <v>0</v>
      </c>
      <c r="J2696" s="1">
        <f>467*772.37</f>
        <v>360696.79</v>
      </c>
      <c r="K2696" s="1">
        <v>0</v>
      </c>
      <c r="L2696" s="2">
        <v>0</v>
      </c>
      <c r="M2696" s="1">
        <v>0</v>
      </c>
      <c r="N2696" s="1">
        <v>488</v>
      </c>
      <c r="O2696" s="1">
        <f t="shared" si="1517"/>
        <v>3782000</v>
      </c>
      <c r="P2696" s="1">
        <v>0</v>
      </c>
      <c r="Q2696" s="1">
        <f t="shared" si="1509"/>
        <v>0</v>
      </c>
      <c r="R2696" s="1">
        <v>646</v>
      </c>
      <c r="S2696" s="1">
        <f t="shared" si="1510"/>
        <v>2423146</v>
      </c>
      <c r="T2696" s="1">
        <v>0</v>
      </c>
      <c r="U2696" s="1">
        <v>50000</v>
      </c>
      <c r="V2696" s="1">
        <v>0</v>
      </c>
      <c r="W2696" s="1">
        <v>50000</v>
      </c>
      <c r="X2696" s="1">
        <v>0</v>
      </c>
      <c r="Y2696" s="1">
        <v>0</v>
      </c>
      <c r="Z2696" s="1">
        <v>0</v>
      </c>
      <c r="AA2696" s="1">
        <v>0</v>
      </c>
      <c r="AB2696" s="1">
        <v>0</v>
      </c>
      <c r="AC2696" s="1">
        <v>0</v>
      </c>
      <c r="AD2696" s="1">
        <v>0</v>
      </c>
    </row>
    <row r="2697" spans="1:30" s="20" customFormat="1" ht="36" customHeight="1" x14ac:dyDescent="0.25">
      <c r="A2697" s="2">
        <f t="shared" si="1511"/>
        <v>2610</v>
      </c>
      <c r="B2697" s="3">
        <f t="shared" si="1448"/>
        <v>2610</v>
      </c>
      <c r="C2697" s="19" t="s">
        <v>1570</v>
      </c>
      <c r="D2697" s="4">
        <f t="shared" si="1507"/>
        <v>4057004.8</v>
      </c>
      <c r="E2697" s="1">
        <f t="shared" si="1508"/>
        <v>597627.80000000005</v>
      </c>
      <c r="F2697" s="1">
        <f>804*359.8</f>
        <v>289279.2</v>
      </c>
      <c r="G2697" s="1">
        <v>0</v>
      </c>
      <c r="H2697" s="1">
        <f>390*359.8</f>
        <v>140322</v>
      </c>
      <c r="I2697" s="1">
        <v>0</v>
      </c>
      <c r="J2697" s="1">
        <f>467*359.8</f>
        <v>168026.6</v>
      </c>
      <c r="K2697" s="1">
        <v>0</v>
      </c>
      <c r="L2697" s="2">
        <v>0</v>
      </c>
      <c r="M2697" s="1">
        <v>0</v>
      </c>
      <c r="N2697" s="1">
        <v>251</v>
      </c>
      <c r="O2697" s="1">
        <f t="shared" si="1517"/>
        <v>1945250</v>
      </c>
      <c r="P2697" s="1">
        <v>0</v>
      </c>
      <c r="Q2697" s="1">
        <f t="shared" si="1509"/>
        <v>0</v>
      </c>
      <c r="R2697" s="1">
        <v>377</v>
      </c>
      <c r="S2697" s="1">
        <f t="shared" si="1510"/>
        <v>1414127</v>
      </c>
      <c r="T2697" s="1">
        <v>0</v>
      </c>
      <c r="U2697" s="1">
        <v>50000</v>
      </c>
      <c r="V2697" s="1">
        <v>0</v>
      </c>
      <c r="W2697" s="1">
        <v>50000</v>
      </c>
      <c r="X2697" s="1">
        <v>0</v>
      </c>
      <c r="Y2697" s="1">
        <v>0</v>
      </c>
      <c r="Z2697" s="1">
        <v>0</v>
      </c>
      <c r="AA2697" s="1">
        <v>0</v>
      </c>
      <c r="AB2697" s="1">
        <v>0</v>
      </c>
      <c r="AC2697" s="1">
        <v>0</v>
      </c>
      <c r="AD2697" s="1">
        <v>0</v>
      </c>
    </row>
    <row r="2698" spans="1:30" s="20" customFormat="1" ht="36" customHeight="1" x14ac:dyDescent="0.25">
      <c r="A2698" s="2">
        <f t="shared" si="1511"/>
        <v>2611</v>
      </c>
      <c r="B2698" s="3">
        <f t="shared" si="1448"/>
        <v>2611</v>
      </c>
      <c r="C2698" s="19" t="s">
        <v>1571</v>
      </c>
      <c r="D2698" s="4">
        <f t="shared" si="1507"/>
        <v>6384425.7999999998</v>
      </c>
      <c r="E2698" s="1">
        <f t="shared" si="1508"/>
        <v>1625683.7999999998</v>
      </c>
      <c r="F2698" s="1">
        <f>804*484.7</f>
        <v>389698.8</v>
      </c>
      <c r="G2698" s="1">
        <f>1693*484.7</f>
        <v>820597.1</v>
      </c>
      <c r="H2698" s="1">
        <f>390*484.7</f>
        <v>189033</v>
      </c>
      <c r="I2698" s="1">
        <v>0</v>
      </c>
      <c r="J2698" s="1">
        <f>467*484.7</f>
        <v>226354.9</v>
      </c>
      <c r="K2698" s="1">
        <v>0</v>
      </c>
      <c r="L2698" s="2">
        <v>0</v>
      </c>
      <c r="M2698" s="1">
        <v>0</v>
      </c>
      <c r="N2698" s="1">
        <v>363</v>
      </c>
      <c r="O2698" s="1">
        <f t="shared" si="1517"/>
        <v>2813250</v>
      </c>
      <c r="P2698" s="1">
        <v>0</v>
      </c>
      <c r="Q2698" s="1">
        <f t="shared" si="1509"/>
        <v>0</v>
      </c>
      <c r="R2698" s="1">
        <v>492</v>
      </c>
      <c r="S2698" s="1">
        <f t="shared" si="1510"/>
        <v>1845492</v>
      </c>
      <c r="T2698" s="1">
        <v>0</v>
      </c>
      <c r="U2698" s="1">
        <v>50000</v>
      </c>
      <c r="V2698" s="1">
        <v>0</v>
      </c>
      <c r="W2698" s="1">
        <v>50000</v>
      </c>
      <c r="X2698" s="1">
        <v>0</v>
      </c>
      <c r="Y2698" s="1">
        <v>0</v>
      </c>
      <c r="Z2698" s="1">
        <v>0</v>
      </c>
      <c r="AA2698" s="1">
        <v>0</v>
      </c>
      <c r="AB2698" s="1">
        <v>0</v>
      </c>
      <c r="AC2698" s="1">
        <v>0</v>
      </c>
      <c r="AD2698" s="1">
        <v>0</v>
      </c>
    </row>
    <row r="2699" spans="1:30" s="20" customFormat="1" ht="54.95" customHeight="1" x14ac:dyDescent="0.25">
      <c r="A2699" s="3"/>
      <c r="B2699" s="47" t="s">
        <v>1986</v>
      </c>
      <c r="C2699" s="48"/>
      <c r="D2699" s="4">
        <f>SUM(D2700:D2703)</f>
        <v>15864194.300000001</v>
      </c>
      <c r="E2699" s="4">
        <f t="shared" ref="E2699:AD2699" si="1518">SUM(E2700:E2703)</f>
        <v>7618459.3000000007</v>
      </c>
      <c r="F2699" s="4">
        <f t="shared" si="1518"/>
        <v>3280239.6</v>
      </c>
      <c r="G2699" s="4">
        <f t="shared" si="1518"/>
        <v>0</v>
      </c>
      <c r="H2699" s="4">
        <f t="shared" si="1518"/>
        <v>1974219</v>
      </c>
      <c r="I2699" s="4">
        <f t="shared" si="1518"/>
        <v>0</v>
      </c>
      <c r="J2699" s="4">
        <f t="shared" si="1518"/>
        <v>2364000.7000000002</v>
      </c>
      <c r="K2699" s="4">
        <f t="shared" si="1518"/>
        <v>0</v>
      </c>
      <c r="L2699" s="17">
        <f t="shared" si="1518"/>
        <v>0</v>
      </c>
      <c r="M2699" s="4">
        <f t="shared" si="1518"/>
        <v>0</v>
      </c>
      <c r="N2699" s="4">
        <f t="shared" si="1518"/>
        <v>0</v>
      </c>
      <c r="O2699" s="4">
        <f t="shared" si="1518"/>
        <v>0</v>
      </c>
      <c r="P2699" s="4">
        <f t="shared" si="1518"/>
        <v>0</v>
      </c>
      <c r="Q2699" s="4">
        <f t="shared" si="1518"/>
        <v>0</v>
      </c>
      <c r="R2699" s="4">
        <f t="shared" si="1518"/>
        <v>1985</v>
      </c>
      <c r="S2699" s="4">
        <f t="shared" si="1518"/>
        <v>7445735</v>
      </c>
      <c r="T2699" s="4">
        <f t="shared" si="1518"/>
        <v>450000</v>
      </c>
      <c r="U2699" s="4">
        <f t="shared" si="1518"/>
        <v>200000</v>
      </c>
      <c r="V2699" s="4">
        <f t="shared" si="1518"/>
        <v>0</v>
      </c>
      <c r="W2699" s="4">
        <f t="shared" si="1518"/>
        <v>150000</v>
      </c>
      <c r="X2699" s="4">
        <f t="shared" si="1518"/>
        <v>0</v>
      </c>
      <c r="Y2699" s="4">
        <f t="shared" si="1518"/>
        <v>0</v>
      </c>
      <c r="Z2699" s="4">
        <f t="shared" si="1518"/>
        <v>0</v>
      </c>
      <c r="AA2699" s="4">
        <f t="shared" si="1518"/>
        <v>0</v>
      </c>
      <c r="AB2699" s="4">
        <f t="shared" si="1518"/>
        <v>0</v>
      </c>
      <c r="AC2699" s="4">
        <f t="shared" si="1518"/>
        <v>0</v>
      </c>
      <c r="AD2699" s="4">
        <f t="shared" si="1518"/>
        <v>0</v>
      </c>
    </row>
    <row r="2700" spans="1:30" s="20" customFormat="1" ht="36" customHeight="1" x14ac:dyDescent="0.25">
      <c r="A2700" s="2">
        <f>ROW()-ROW($A$11)-77</f>
        <v>2612</v>
      </c>
      <c r="B2700" s="3">
        <f t="shared" si="1448"/>
        <v>2612</v>
      </c>
      <c r="C2700" s="19" t="s">
        <v>1572</v>
      </c>
      <c r="D2700" s="4">
        <f>E2700+M2700+O2700+Q2700+S2700+T2700+U2700+V2700+W2700+X2700+Z2700+AA2700+AB2700+AC2700+AD2700</f>
        <v>5171873</v>
      </c>
      <c r="E2700" s="1">
        <f>SUM(F2700:K2700)</f>
        <v>2566245</v>
      </c>
      <c r="F2700" s="1">
        <f>804*1545</f>
        <v>1242180</v>
      </c>
      <c r="G2700" s="1">
        <v>0</v>
      </c>
      <c r="H2700" s="1">
        <f>390*1545</f>
        <v>602550</v>
      </c>
      <c r="I2700" s="1">
        <v>0</v>
      </c>
      <c r="J2700" s="1">
        <f>467*1545</f>
        <v>721515</v>
      </c>
      <c r="K2700" s="1">
        <v>0</v>
      </c>
      <c r="L2700" s="2">
        <v>0</v>
      </c>
      <c r="M2700" s="1">
        <v>0</v>
      </c>
      <c r="N2700" s="1">
        <v>0</v>
      </c>
      <c r="O2700" s="1">
        <v>0</v>
      </c>
      <c r="P2700" s="1">
        <v>0</v>
      </c>
      <c r="Q2700" s="1">
        <f>P2700*1400</f>
        <v>0</v>
      </c>
      <c r="R2700" s="1">
        <v>628</v>
      </c>
      <c r="S2700" s="1">
        <f>R2700*3751</f>
        <v>2355628</v>
      </c>
      <c r="T2700" s="1">
        <v>150000</v>
      </c>
      <c r="U2700" s="1">
        <v>50000</v>
      </c>
      <c r="V2700" s="1">
        <v>0</v>
      </c>
      <c r="W2700" s="1">
        <v>50000</v>
      </c>
      <c r="X2700" s="1">
        <v>0</v>
      </c>
      <c r="Y2700" s="1">
        <v>0</v>
      </c>
      <c r="Z2700" s="1">
        <v>0</v>
      </c>
      <c r="AA2700" s="1">
        <v>0</v>
      </c>
      <c r="AB2700" s="1">
        <v>0</v>
      </c>
      <c r="AC2700" s="1">
        <v>0</v>
      </c>
      <c r="AD2700" s="1">
        <v>0</v>
      </c>
    </row>
    <row r="2701" spans="1:30" s="20" customFormat="1" ht="36" customHeight="1" x14ac:dyDescent="0.25">
      <c r="A2701" s="2">
        <f t="shared" ref="A2701:A2703" si="1519">ROW()-ROW($A$11)-77</f>
        <v>2613</v>
      </c>
      <c r="B2701" s="3">
        <f t="shared" si="1448"/>
        <v>2613</v>
      </c>
      <c r="C2701" s="19" t="s">
        <v>1573</v>
      </c>
      <c r="D2701" s="4">
        <f>E2701+M2701+O2701+Q2701+S2701+T2701+U2701+V2701+W2701+X2701+Z2701+AA2701+AB2701+AC2701+AD2701</f>
        <v>5171873</v>
      </c>
      <c r="E2701" s="1">
        <f>SUM(F2701:K2701)</f>
        <v>2566245</v>
      </c>
      <c r="F2701" s="1">
        <f>804*1545</f>
        <v>1242180</v>
      </c>
      <c r="G2701" s="1">
        <v>0</v>
      </c>
      <c r="H2701" s="1">
        <f>390*1545</f>
        <v>602550</v>
      </c>
      <c r="I2701" s="1">
        <v>0</v>
      </c>
      <c r="J2701" s="1">
        <f>467*1545</f>
        <v>721515</v>
      </c>
      <c r="K2701" s="1">
        <v>0</v>
      </c>
      <c r="L2701" s="2">
        <v>0</v>
      </c>
      <c r="M2701" s="1">
        <v>0</v>
      </c>
      <c r="N2701" s="1">
        <v>0</v>
      </c>
      <c r="O2701" s="1">
        <v>0</v>
      </c>
      <c r="P2701" s="1">
        <v>0</v>
      </c>
      <c r="Q2701" s="1">
        <f>P2701*1400</f>
        <v>0</v>
      </c>
      <c r="R2701" s="1">
        <v>628</v>
      </c>
      <c r="S2701" s="1">
        <f>R2701*3751</f>
        <v>2355628</v>
      </c>
      <c r="T2701" s="1">
        <v>150000</v>
      </c>
      <c r="U2701" s="1">
        <v>50000</v>
      </c>
      <c r="V2701" s="1">
        <v>0</v>
      </c>
      <c r="W2701" s="1">
        <v>50000</v>
      </c>
      <c r="X2701" s="1">
        <v>0</v>
      </c>
      <c r="Y2701" s="1">
        <v>0</v>
      </c>
      <c r="Z2701" s="1">
        <v>0</v>
      </c>
      <c r="AA2701" s="1">
        <v>0</v>
      </c>
      <c r="AB2701" s="1">
        <v>0</v>
      </c>
      <c r="AC2701" s="1">
        <v>0</v>
      </c>
      <c r="AD2701" s="1">
        <v>0</v>
      </c>
    </row>
    <row r="2702" spans="1:30" s="20" customFormat="1" ht="36" customHeight="1" x14ac:dyDescent="0.25">
      <c r="A2702" s="2">
        <f t="shared" si="1519"/>
        <v>2614</v>
      </c>
      <c r="B2702" s="3">
        <f t="shared" si="1448"/>
        <v>2614</v>
      </c>
      <c r="C2702" s="19" t="s">
        <v>1574</v>
      </c>
      <c r="D2702" s="4">
        <f>E2702+M2702+O2702+Q2702+S2702+T2702+U2702+V2702+W2702+X2702+Z2702+AA2702+AB2702+AC2702+AD2702</f>
        <v>4628702.9000000004</v>
      </c>
      <c r="E2702" s="1">
        <f>SUM(F2702:K2702)</f>
        <v>1644223.9000000001</v>
      </c>
      <c r="F2702" s="1">
        <f>804*989.9</f>
        <v>795879.6</v>
      </c>
      <c r="G2702" s="1">
        <v>0</v>
      </c>
      <c r="H2702" s="1">
        <f>390*989.9</f>
        <v>386061</v>
      </c>
      <c r="I2702" s="1">
        <v>0</v>
      </c>
      <c r="J2702" s="1">
        <f>467*989.9</f>
        <v>462283.3</v>
      </c>
      <c r="K2702" s="1">
        <v>0</v>
      </c>
      <c r="L2702" s="2">
        <v>0</v>
      </c>
      <c r="M2702" s="1">
        <v>0</v>
      </c>
      <c r="N2702" s="1">
        <v>0</v>
      </c>
      <c r="O2702" s="1">
        <v>0</v>
      </c>
      <c r="P2702" s="1">
        <v>0</v>
      </c>
      <c r="Q2702" s="1">
        <f>P2702*1400</f>
        <v>0</v>
      </c>
      <c r="R2702" s="1">
        <v>729</v>
      </c>
      <c r="S2702" s="1">
        <f>R2702*3751</f>
        <v>2734479</v>
      </c>
      <c r="T2702" s="1">
        <v>150000</v>
      </c>
      <c r="U2702" s="1">
        <v>50000</v>
      </c>
      <c r="V2702" s="1">
        <v>0</v>
      </c>
      <c r="W2702" s="1">
        <v>50000</v>
      </c>
      <c r="X2702" s="1">
        <v>0</v>
      </c>
      <c r="Y2702" s="1">
        <v>0</v>
      </c>
      <c r="Z2702" s="1">
        <v>0</v>
      </c>
      <c r="AA2702" s="1">
        <v>0</v>
      </c>
      <c r="AB2702" s="1">
        <v>0</v>
      </c>
      <c r="AC2702" s="1">
        <v>0</v>
      </c>
      <c r="AD2702" s="1">
        <v>0</v>
      </c>
    </row>
    <row r="2703" spans="1:30" s="20" customFormat="1" ht="36" customHeight="1" x14ac:dyDescent="0.25">
      <c r="A2703" s="2">
        <f t="shared" si="1519"/>
        <v>2615</v>
      </c>
      <c r="B2703" s="3">
        <f t="shared" si="1448"/>
        <v>2615</v>
      </c>
      <c r="C2703" s="19" t="s">
        <v>1575</v>
      </c>
      <c r="D2703" s="4">
        <f>E2703+M2703+O2703+Q2703+S2703+T2703+U2703+V2703+W2703+X2703+Z2703+AA2703+AB2703+AC2703+AD2703</f>
        <v>891745.4</v>
      </c>
      <c r="E2703" s="1">
        <f>SUM(F2703:K2703)</f>
        <v>841745.4</v>
      </c>
      <c r="F2703" s="1">
        <v>0</v>
      </c>
      <c r="G2703" s="1">
        <v>0</v>
      </c>
      <c r="H2703" s="1">
        <f>390*982.2</f>
        <v>383058</v>
      </c>
      <c r="I2703" s="1">
        <v>0</v>
      </c>
      <c r="J2703" s="1">
        <f>467*982.2</f>
        <v>458687.4</v>
      </c>
      <c r="K2703" s="1">
        <v>0</v>
      </c>
      <c r="L2703" s="2">
        <v>0</v>
      </c>
      <c r="M2703" s="1">
        <v>0</v>
      </c>
      <c r="N2703" s="1">
        <v>0</v>
      </c>
      <c r="O2703" s="1">
        <v>0</v>
      </c>
      <c r="P2703" s="1">
        <v>0</v>
      </c>
      <c r="Q2703" s="1">
        <f>P2703*1400</f>
        <v>0</v>
      </c>
      <c r="R2703" s="1">
        <v>0</v>
      </c>
      <c r="S2703" s="1">
        <f>R2703*3751</f>
        <v>0</v>
      </c>
      <c r="T2703" s="1">
        <v>0</v>
      </c>
      <c r="U2703" s="1">
        <v>50000</v>
      </c>
      <c r="V2703" s="1">
        <v>0</v>
      </c>
      <c r="W2703" s="1">
        <v>0</v>
      </c>
      <c r="X2703" s="1">
        <v>0</v>
      </c>
      <c r="Y2703" s="1">
        <v>0</v>
      </c>
      <c r="Z2703" s="1">
        <v>0</v>
      </c>
      <c r="AA2703" s="1">
        <v>0</v>
      </c>
      <c r="AB2703" s="1">
        <v>0</v>
      </c>
      <c r="AC2703" s="1">
        <v>0</v>
      </c>
      <c r="AD2703" s="1">
        <v>0</v>
      </c>
    </row>
    <row r="2704" spans="1:30" s="20" customFormat="1" ht="54.95" customHeight="1" x14ac:dyDescent="0.25">
      <c r="A2704" s="3"/>
      <c r="B2704" s="47" t="s">
        <v>1987</v>
      </c>
      <c r="C2704" s="48"/>
      <c r="D2704" s="4">
        <f>SUM(D2705:D2707)</f>
        <v>12473291</v>
      </c>
      <c r="E2704" s="4">
        <f t="shared" ref="E2704:AD2704" si="1520">SUM(E2705:E2707)</f>
        <v>2479221</v>
      </c>
      <c r="F2704" s="4">
        <f t="shared" si="1520"/>
        <v>1082586</v>
      </c>
      <c r="G2704" s="4">
        <f t="shared" si="1520"/>
        <v>927256.10000000009</v>
      </c>
      <c r="H2704" s="4">
        <f t="shared" si="1520"/>
        <v>213603.00000000003</v>
      </c>
      <c r="I2704" s="4">
        <f t="shared" si="1520"/>
        <v>0</v>
      </c>
      <c r="J2704" s="4">
        <f t="shared" si="1520"/>
        <v>255775.90000000002</v>
      </c>
      <c r="K2704" s="4">
        <f t="shared" si="1520"/>
        <v>0</v>
      </c>
      <c r="L2704" s="17">
        <f t="shared" si="1520"/>
        <v>0</v>
      </c>
      <c r="M2704" s="4">
        <f t="shared" si="1520"/>
        <v>0</v>
      </c>
      <c r="N2704" s="4">
        <f t="shared" si="1520"/>
        <v>1100</v>
      </c>
      <c r="O2704" s="4">
        <f t="shared" si="1520"/>
        <v>6855800</v>
      </c>
      <c r="P2704" s="4">
        <f t="shared" si="1520"/>
        <v>0</v>
      </c>
      <c r="Q2704" s="4">
        <f t="shared" si="1520"/>
        <v>0</v>
      </c>
      <c r="R2704" s="4">
        <f t="shared" si="1520"/>
        <v>770</v>
      </c>
      <c r="S2704" s="4">
        <f t="shared" si="1520"/>
        <v>2888270</v>
      </c>
      <c r="T2704" s="4">
        <f t="shared" si="1520"/>
        <v>0</v>
      </c>
      <c r="U2704" s="4">
        <f t="shared" si="1520"/>
        <v>100000</v>
      </c>
      <c r="V2704" s="4">
        <f t="shared" si="1520"/>
        <v>0</v>
      </c>
      <c r="W2704" s="4">
        <f t="shared" si="1520"/>
        <v>150000</v>
      </c>
      <c r="X2704" s="4">
        <f t="shared" si="1520"/>
        <v>0</v>
      </c>
      <c r="Y2704" s="4">
        <f t="shared" si="1520"/>
        <v>0</v>
      </c>
      <c r="Z2704" s="4">
        <f t="shared" si="1520"/>
        <v>0</v>
      </c>
      <c r="AA2704" s="4">
        <f t="shared" si="1520"/>
        <v>0</v>
      </c>
      <c r="AB2704" s="4">
        <f t="shared" si="1520"/>
        <v>0</v>
      </c>
      <c r="AC2704" s="4">
        <f t="shared" si="1520"/>
        <v>0</v>
      </c>
      <c r="AD2704" s="4">
        <f t="shared" si="1520"/>
        <v>0</v>
      </c>
    </row>
    <row r="2705" spans="1:30" s="20" customFormat="1" ht="36" customHeight="1" x14ac:dyDescent="0.25">
      <c r="A2705" s="2">
        <f>ROW()-ROW($A$11)-78</f>
        <v>2616</v>
      </c>
      <c r="B2705" s="3">
        <f t="shared" ref="B2705:B2759" si="1521">A2705</f>
        <v>2616</v>
      </c>
      <c r="C2705" s="19" t="s">
        <v>1576</v>
      </c>
      <c r="D2705" s="4">
        <f>E2705+M2705+O2705+Q2705+S2705+T2705+U2705+V2705+W2705+X2705+Z2705+AA2705+AB2705+AC2705+AD2705</f>
        <v>1936985.8000000003</v>
      </c>
      <c r="E2705" s="1">
        <f>SUM(F2705:K2705)</f>
        <v>1836985.8000000003</v>
      </c>
      <c r="F2705" s="1">
        <f>804*547.7</f>
        <v>440350.80000000005</v>
      </c>
      <c r="G2705" s="1">
        <f>1693*547.7</f>
        <v>927256.10000000009</v>
      </c>
      <c r="H2705" s="1">
        <f>390*547.7</f>
        <v>213603.00000000003</v>
      </c>
      <c r="I2705" s="1">
        <v>0</v>
      </c>
      <c r="J2705" s="1">
        <f>467*547.7</f>
        <v>255775.90000000002</v>
      </c>
      <c r="K2705" s="1">
        <v>0</v>
      </c>
      <c r="L2705" s="2">
        <v>0</v>
      </c>
      <c r="M2705" s="1">
        <v>0</v>
      </c>
      <c r="N2705" s="1">
        <v>0</v>
      </c>
      <c r="O2705" s="1">
        <v>0</v>
      </c>
      <c r="P2705" s="1">
        <v>0</v>
      </c>
      <c r="Q2705" s="1">
        <f>P2705*1400</f>
        <v>0</v>
      </c>
      <c r="R2705" s="1">
        <v>0</v>
      </c>
      <c r="S2705" s="1">
        <f t="shared" ref="S2705:S2712" si="1522">R2705*3751</f>
        <v>0</v>
      </c>
      <c r="T2705" s="1">
        <v>0</v>
      </c>
      <c r="U2705" s="1">
        <v>50000</v>
      </c>
      <c r="V2705" s="1">
        <v>0</v>
      </c>
      <c r="W2705" s="1">
        <v>50000</v>
      </c>
      <c r="X2705" s="1">
        <v>0</v>
      </c>
      <c r="Y2705" s="1">
        <v>0</v>
      </c>
      <c r="Z2705" s="1">
        <v>0</v>
      </c>
      <c r="AA2705" s="1">
        <v>0</v>
      </c>
      <c r="AB2705" s="1">
        <v>0</v>
      </c>
      <c r="AC2705" s="1">
        <v>0</v>
      </c>
      <c r="AD2705" s="1">
        <v>0</v>
      </c>
    </row>
    <row r="2706" spans="1:30" s="20" customFormat="1" ht="36" customHeight="1" x14ac:dyDescent="0.25">
      <c r="A2706" s="2">
        <f t="shared" ref="A2706:A2707" si="1523">ROW()-ROW($A$11)-78</f>
        <v>2617</v>
      </c>
      <c r="B2706" s="3">
        <f t="shared" ref="B2706" si="1524">A2706</f>
        <v>2617</v>
      </c>
      <c r="C2706" s="19" t="s">
        <v>1788</v>
      </c>
      <c r="D2706" s="4">
        <f>E2706+M2706+O2706+Q2706+S2706+T2706+U2706+V2706+W2706+X2706+Z2706+AA2706+AB2706+AC2706+AD2706</f>
        <v>3030800</v>
      </c>
      <c r="E2706" s="1">
        <f>SUM(F2706:K2706)</f>
        <v>0</v>
      </c>
      <c r="F2706" s="1">
        <v>0</v>
      </c>
      <c r="G2706" s="1">
        <v>0</v>
      </c>
      <c r="H2706" s="1">
        <v>0</v>
      </c>
      <c r="I2706" s="1">
        <v>0</v>
      </c>
      <c r="J2706" s="1">
        <v>0</v>
      </c>
      <c r="K2706" s="1">
        <v>0</v>
      </c>
      <c r="L2706" s="2">
        <v>0</v>
      </c>
      <c r="M2706" s="1">
        <v>0</v>
      </c>
      <c r="N2706" s="1">
        <v>600</v>
      </c>
      <c r="O2706" s="1">
        <f>N2706*4968</f>
        <v>2980800</v>
      </c>
      <c r="P2706" s="1">
        <v>0</v>
      </c>
      <c r="Q2706" s="1">
        <f>P2706*1400</f>
        <v>0</v>
      </c>
      <c r="R2706" s="1">
        <v>0</v>
      </c>
      <c r="S2706" s="1">
        <f t="shared" ref="S2706" si="1525">R2706*3751</f>
        <v>0</v>
      </c>
      <c r="T2706" s="1">
        <v>0</v>
      </c>
      <c r="U2706" s="1">
        <v>0</v>
      </c>
      <c r="V2706" s="1">
        <v>0</v>
      </c>
      <c r="W2706" s="1">
        <v>50000</v>
      </c>
      <c r="X2706" s="1">
        <v>0</v>
      </c>
      <c r="Y2706" s="1">
        <v>0</v>
      </c>
      <c r="Z2706" s="1">
        <v>0</v>
      </c>
      <c r="AA2706" s="1">
        <v>0</v>
      </c>
      <c r="AB2706" s="1">
        <v>0</v>
      </c>
      <c r="AC2706" s="1">
        <v>0</v>
      </c>
      <c r="AD2706" s="1">
        <v>0</v>
      </c>
    </row>
    <row r="2707" spans="1:30" s="20" customFormat="1" ht="36" customHeight="1" x14ac:dyDescent="0.25">
      <c r="A2707" s="2">
        <f t="shared" si="1523"/>
        <v>2618</v>
      </c>
      <c r="B2707" s="3">
        <f t="shared" si="1521"/>
        <v>2618</v>
      </c>
      <c r="C2707" s="19" t="s">
        <v>1577</v>
      </c>
      <c r="D2707" s="4">
        <f>E2707+M2707+O2707+Q2707+S2707+T2707+U2707+V2707+W2707+X2707+Z2707+AA2707+AB2707+AC2707+AD2707</f>
        <v>7505505.2000000002</v>
      </c>
      <c r="E2707" s="1">
        <f>SUM(F2707:K2707)</f>
        <v>642235.19999999995</v>
      </c>
      <c r="F2707" s="1">
        <f>804*798.8</f>
        <v>642235.19999999995</v>
      </c>
      <c r="G2707" s="1">
        <v>0</v>
      </c>
      <c r="H2707" s="1">
        <v>0</v>
      </c>
      <c r="I2707" s="1">
        <v>0</v>
      </c>
      <c r="J2707" s="1">
        <v>0</v>
      </c>
      <c r="K2707" s="1">
        <v>0</v>
      </c>
      <c r="L2707" s="2">
        <v>0</v>
      </c>
      <c r="M2707" s="1">
        <v>0</v>
      </c>
      <c r="N2707" s="1">
        <v>500</v>
      </c>
      <c r="O2707" s="1">
        <f>N2707*7750</f>
        <v>3875000</v>
      </c>
      <c r="P2707" s="1">
        <v>0</v>
      </c>
      <c r="Q2707" s="1">
        <f>P2707*1400</f>
        <v>0</v>
      </c>
      <c r="R2707" s="1">
        <v>770</v>
      </c>
      <c r="S2707" s="1">
        <f t="shared" si="1522"/>
        <v>2888270</v>
      </c>
      <c r="T2707" s="1">
        <v>0</v>
      </c>
      <c r="U2707" s="1">
        <v>50000</v>
      </c>
      <c r="V2707" s="1">
        <v>0</v>
      </c>
      <c r="W2707" s="1">
        <v>50000</v>
      </c>
      <c r="X2707" s="1">
        <v>0</v>
      </c>
      <c r="Y2707" s="1">
        <v>0</v>
      </c>
      <c r="Z2707" s="1">
        <v>0</v>
      </c>
      <c r="AA2707" s="1">
        <v>0</v>
      </c>
      <c r="AB2707" s="1">
        <v>0</v>
      </c>
      <c r="AC2707" s="1">
        <v>0</v>
      </c>
      <c r="AD2707" s="1">
        <v>0</v>
      </c>
    </row>
    <row r="2708" spans="1:30" s="20" customFormat="1" ht="54.95" customHeight="1" x14ac:dyDescent="0.25">
      <c r="A2708" s="3"/>
      <c r="B2708" s="47" t="s">
        <v>1988</v>
      </c>
      <c r="C2708" s="48"/>
      <c r="D2708" s="4">
        <f>SUM(D2709:D2712)</f>
        <v>20666791.100000001</v>
      </c>
      <c r="E2708" s="4">
        <f t="shared" ref="E2708:AD2708" si="1526">SUM(E2709:E2712)</f>
        <v>14692805.100000001</v>
      </c>
      <c r="F2708" s="4">
        <f t="shared" si="1526"/>
        <v>2707228.8000000003</v>
      </c>
      <c r="G2708" s="4">
        <f t="shared" si="1526"/>
        <v>6501627.9000000004</v>
      </c>
      <c r="H2708" s="4">
        <f t="shared" si="1526"/>
        <v>1497717</v>
      </c>
      <c r="I2708" s="4">
        <f t="shared" si="1526"/>
        <v>2192811.2999999998</v>
      </c>
      <c r="J2708" s="4">
        <f t="shared" si="1526"/>
        <v>1793420.1</v>
      </c>
      <c r="K2708" s="4">
        <f t="shared" si="1526"/>
        <v>0</v>
      </c>
      <c r="L2708" s="17">
        <f t="shared" si="1526"/>
        <v>0</v>
      </c>
      <c r="M2708" s="4">
        <f t="shared" si="1526"/>
        <v>0</v>
      </c>
      <c r="N2708" s="4">
        <f t="shared" si="1526"/>
        <v>0</v>
      </c>
      <c r="O2708" s="4">
        <f t="shared" si="1526"/>
        <v>0</v>
      </c>
      <c r="P2708" s="4">
        <f t="shared" si="1526"/>
        <v>0</v>
      </c>
      <c r="Q2708" s="4">
        <f t="shared" si="1526"/>
        <v>0</v>
      </c>
      <c r="R2708" s="4">
        <f t="shared" si="1526"/>
        <v>1486</v>
      </c>
      <c r="S2708" s="4">
        <f t="shared" si="1526"/>
        <v>5573986</v>
      </c>
      <c r="T2708" s="4">
        <f t="shared" si="1526"/>
        <v>0</v>
      </c>
      <c r="U2708" s="4">
        <f t="shared" si="1526"/>
        <v>200000</v>
      </c>
      <c r="V2708" s="4">
        <f t="shared" si="1526"/>
        <v>0</v>
      </c>
      <c r="W2708" s="4">
        <f t="shared" si="1526"/>
        <v>200000</v>
      </c>
      <c r="X2708" s="4">
        <f t="shared" si="1526"/>
        <v>0</v>
      </c>
      <c r="Y2708" s="4">
        <f t="shared" si="1526"/>
        <v>0</v>
      </c>
      <c r="Z2708" s="4">
        <f t="shared" si="1526"/>
        <v>0</v>
      </c>
      <c r="AA2708" s="4">
        <f t="shared" si="1526"/>
        <v>0</v>
      </c>
      <c r="AB2708" s="4">
        <f t="shared" si="1526"/>
        <v>0</v>
      </c>
      <c r="AC2708" s="4">
        <f t="shared" si="1526"/>
        <v>0</v>
      </c>
      <c r="AD2708" s="4">
        <f t="shared" si="1526"/>
        <v>0</v>
      </c>
    </row>
    <row r="2709" spans="1:30" s="20" customFormat="1" ht="36" customHeight="1" x14ac:dyDescent="0.25">
      <c r="A2709" s="2">
        <f>ROW()-ROW($A$11)-79</f>
        <v>2619</v>
      </c>
      <c r="B2709" s="3">
        <f t="shared" si="1521"/>
        <v>2619</v>
      </c>
      <c r="C2709" s="19" t="s">
        <v>1578</v>
      </c>
      <c r="D2709" s="4">
        <f>E2709+M2709+O2709+Q2709+S2709+T2709+U2709+V2709+W2709+X2709+Z2709+AA2709+AB2709+AC2709+AD2709</f>
        <v>1342002.5</v>
      </c>
      <c r="E2709" s="1">
        <f>SUM(F2709:K2709)</f>
        <v>491802.49999999994</v>
      </c>
      <c r="F2709" s="1">
        <f>804*125.3</f>
        <v>100741.2</v>
      </c>
      <c r="G2709" s="1">
        <f>1693*125.3</f>
        <v>212132.9</v>
      </c>
      <c r="H2709" s="1">
        <f>390*125.3</f>
        <v>48867</v>
      </c>
      <c r="I2709" s="1">
        <f>571*125.3</f>
        <v>71546.3</v>
      </c>
      <c r="J2709" s="1">
        <f>467*125.3</f>
        <v>58515.1</v>
      </c>
      <c r="K2709" s="1">
        <v>0</v>
      </c>
      <c r="L2709" s="2">
        <v>0</v>
      </c>
      <c r="M2709" s="1">
        <v>0</v>
      </c>
      <c r="N2709" s="1">
        <v>0</v>
      </c>
      <c r="O2709" s="1">
        <v>0</v>
      </c>
      <c r="P2709" s="1">
        <v>0</v>
      </c>
      <c r="Q2709" s="1">
        <f>P2709*1400</f>
        <v>0</v>
      </c>
      <c r="R2709" s="1">
        <v>200</v>
      </c>
      <c r="S2709" s="1">
        <f t="shared" si="1522"/>
        <v>750200</v>
      </c>
      <c r="T2709" s="1">
        <v>0</v>
      </c>
      <c r="U2709" s="1">
        <v>50000</v>
      </c>
      <c r="V2709" s="1">
        <v>0</v>
      </c>
      <c r="W2709" s="1">
        <v>50000</v>
      </c>
      <c r="X2709" s="1">
        <v>0</v>
      </c>
      <c r="Y2709" s="1">
        <v>0</v>
      </c>
      <c r="Z2709" s="1">
        <v>0</v>
      </c>
      <c r="AA2709" s="1">
        <v>0</v>
      </c>
      <c r="AB2709" s="1">
        <v>0</v>
      </c>
      <c r="AC2709" s="1">
        <v>0</v>
      </c>
      <c r="AD2709" s="1">
        <v>0</v>
      </c>
    </row>
    <row r="2710" spans="1:30" s="20" customFormat="1" ht="36" customHeight="1" x14ac:dyDescent="0.25">
      <c r="A2710" s="2">
        <f t="shared" ref="A2710:A2712" si="1527">ROW()-ROW($A$11)-79</f>
        <v>2620</v>
      </c>
      <c r="B2710" s="3">
        <f t="shared" si="1521"/>
        <v>2620</v>
      </c>
      <c r="C2710" s="19" t="s">
        <v>1579</v>
      </c>
      <c r="D2710" s="4">
        <f>E2710+M2710+O2710+Q2710+S2710+T2710+U2710+V2710+W2710+X2710+Z2710+AA2710+AB2710+AC2710+AD2710</f>
        <v>4335405</v>
      </c>
      <c r="E2710" s="1">
        <f>SUM(F2710:K2710)</f>
        <v>2922555.0000000005</v>
      </c>
      <c r="F2710" s="1">
        <f>804*744.6</f>
        <v>598658.4</v>
      </c>
      <c r="G2710" s="1">
        <f>1693*744.6</f>
        <v>1260607.8</v>
      </c>
      <c r="H2710" s="1">
        <f>390*744.6</f>
        <v>290394</v>
      </c>
      <c r="I2710" s="1">
        <f>571*744.6</f>
        <v>425166.60000000003</v>
      </c>
      <c r="J2710" s="1">
        <f>467*744.6</f>
        <v>347728.2</v>
      </c>
      <c r="K2710" s="1">
        <v>0</v>
      </c>
      <c r="L2710" s="2">
        <v>0</v>
      </c>
      <c r="M2710" s="1">
        <v>0</v>
      </c>
      <c r="N2710" s="1">
        <v>0</v>
      </c>
      <c r="O2710" s="1">
        <v>0</v>
      </c>
      <c r="P2710" s="1">
        <v>0</v>
      </c>
      <c r="Q2710" s="1">
        <f>P2710*1400</f>
        <v>0</v>
      </c>
      <c r="R2710" s="1">
        <v>350</v>
      </c>
      <c r="S2710" s="1">
        <f t="shared" si="1522"/>
        <v>1312850</v>
      </c>
      <c r="T2710" s="1">
        <v>0</v>
      </c>
      <c r="U2710" s="1">
        <v>50000</v>
      </c>
      <c r="V2710" s="1">
        <v>0</v>
      </c>
      <c r="W2710" s="1">
        <v>50000</v>
      </c>
      <c r="X2710" s="1">
        <v>0</v>
      </c>
      <c r="Y2710" s="1">
        <v>0</v>
      </c>
      <c r="Z2710" s="1">
        <v>0</v>
      </c>
      <c r="AA2710" s="1">
        <v>0</v>
      </c>
      <c r="AB2710" s="1">
        <v>0</v>
      </c>
      <c r="AC2710" s="1">
        <v>0</v>
      </c>
      <c r="AD2710" s="1">
        <v>0</v>
      </c>
    </row>
    <row r="2711" spans="1:30" s="20" customFormat="1" ht="36" customHeight="1" x14ac:dyDescent="0.25">
      <c r="A2711" s="2">
        <f t="shared" si="1527"/>
        <v>2621</v>
      </c>
      <c r="B2711" s="3">
        <f t="shared" si="1521"/>
        <v>2621</v>
      </c>
      <c r="C2711" s="19" t="s">
        <v>1580</v>
      </c>
      <c r="D2711" s="4">
        <f>E2711+M2711+O2711+Q2711+S2711+T2711+U2711+V2711+W2711+X2711+Z2711+AA2711+AB2711+AC2711+AD2711</f>
        <v>1576545.1</v>
      </c>
      <c r="E2711" s="1">
        <f>SUM(F2711:K2711)</f>
        <v>1476545.1</v>
      </c>
      <c r="F2711" s="1">
        <v>0</v>
      </c>
      <c r="G2711" s="1">
        <f>1693*473.1</f>
        <v>800958.3</v>
      </c>
      <c r="H2711" s="1">
        <f>390*473.1</f>
        <v>184509</v>
      </c>
      <c r="I2711" s="1">
        <f>571*473.1</f>
        <v>270140.10000000003</v>
      </c>
      <c r="J2711" s="1">
        <f>467*473.1</f>
        <v>220937.7</v>
      </c>
      <c r="K2711" s="1">
        <v>0</v>
      </c>
      <c r="L2711" s="2">
        <v>0</v>
      </c>
      <c r="M2711" s="1">
        <v>0</v>
      </c>
      <c r="N2711" s="1">
        <v>0</v>
      </c>
      <c r="O2711" s="1">
        <v>0</v>
      </c>
      <c r="P2711" s="1">
        <v>0</v>
      </c>
      <c r="Q2711" s="1">
        <f>P2711*1400</f>
        <v>0</v>
      </c>
      <c r="R2711" s="1">
        <v>0</v>
      </c>
      <c r="S2711" s="1">
        <f>R2711*3751</f>
        <v>0</v>
      </c>
      <c r="T2711" s="1">
        <v>0</v>
      </c>
      <c r="U2711" s="1">
        <v>50000</v>
      </c>
      <c r="V2711" s="1">
        <v>0</v>
      </c>
      <c r="W2711" s="1">
        <v>50000</v>
      </c>
      <c r="X2711" s="1">
        <v>0</v>
      </c>
      <c r="Y2711" s="1">
        <v>0</v>
      </c>
      <c r="Z2711" s="1">
        <v>0</v>
      </c>
      <c r="AA2711" s="1">
        <v>0</v>
      </c>
      <c r="AB2711" s="1">
        <v>0</v>
      </c>
      <c r="AC2711" s="1">
        <v>0</v>
      </c>
      <c r="AD2711" s="1">
        <v>0</v>
      </c>
    </row>
    <row r="2712" spans="1:30" s="20" customFormat="1" ht="36" customHeight="1" x14ac:dyDescent="0.25">
      <c r="A2712" s="2">
        <f t="shared" si="1527"/>
        <v>2622</v>
      </c>
      <c r="B2712" s="3">
        <f t="shared" si="1521"/>
        <v>2622</v>
      </c>
      <c r="C2712" s="19" t="s">
        <v>1582</v>
      </c>
      <c r="D2712" s="4">
        <f>E2712+M2712+O2712+Q2712+S2712+T2712+U2712+V2712+W2712+X2712+Z2712+AA2712+AB2712+AC2712+AD2712</f>
        <v>13412838.5</v>
      </c>
      <c r="E2712" s="1">
        <f>SUM(F2712:K2712)</f>
        <v>9801902.5</v>
      </c>
      <c r="F2712" s="1">
        <f>804*2497.3</f>
        <v>2007829.2000000002</v>
      </c>
      <c r="G2712" s="1">
        <f>1693*2497.3</f>
        <v>4227928.9000000004</v>
      </c>
      <c r="H2712" s="1">
        <f>390*2497.3</f>
        <v>973947.00000000012</v>
      </c>
      <c r="I2712" s="1">
        <f>571*2497.3</f>
        <v>1425958.3</v>
      </c>
      <c r="J2712" s="1">
        <f>467*2497.3</f>
        <v>1166239.1000000001</v>
      </c>
      <c r="K2712" s="1">
        <v>0</v>
      </c>
      <c r="L2712" s="2">
        <v>0</v>
      </c>
      <c r="M2712" s="1">
        <v>0</v>
      </c>
      <c r="N2712" s="1">
        <v>0</v>
      </c>
      <c r="O2712" s="1">
        <v>0</v>
      </c>
      <c r="P2712" s="1">
        <v>0</v>
      </c>
      <c r="Q2712" s="1">
        <f>P2712*1400</f>
        <v>0</v>
      </c>
      <c r="R2712" s="1">
        <v>936</v>
      </c>
      <c r="S2712" s="1">
        <f t="shared" si="1522"/>
        <v>3510936</v>
      </c>
      <c r="T2712" s="1">
        <v>0</v>
      </c>
      <c r="U2712" s="1">
        <v>50000</v>
      </c>
      <c r="V2712" s="1">
        <v>0</v>
      </c>
      <c r="W2712" s="1">
        <v>50000</v>
      </c>
      <c r="X2712" s="1">
        <v>0</v>
      </c>
      <c r="Y2712" s="1">
        <v>0</v>
      </c>
      <c r="Z2712" s="1">
        <v>0</v>
      </c>
      <c r="AA2712" s="1">
        <v>0</v>
      </c>
      <c r="AB2712" s="1">
        <v>0</v>
      </c>
      <c r="AC2712" s="1">
        <v>0</v>
      </c>
      <c r="AD2712" s="1">
        <v>0</v>
      </c>
    </row>
    <row r="2713" spans="1:30" s="20" customFormat="1" ht="54.95" customHeight="1" x14ac:dyDescent="0.25">
      <c r="A2713" s="3"/>
      <c r="B2713" s="47" t="s">
        <v>1989</v>
      </c>
      <c r="C2713" s="48"/>
      <c r="D2713" s="4">
        <f>SUM(D2714:D2759)</f>
        <v>516019567.15000004</v>
      </c>
      <c r="E2713" s="4">
        <f t="shared" ref="E2713:AD2713" si="1528">SUM(E2714:E2759)</f>
        <v>242827363.15000001</v>
      </c>
      <c r="F2713" s="4">
        <f t="shared" si="1528"/>
        <v>51497092.440000005</v>
      </c>
      <c r="G2713" s="4">
        <f t="shared" si="1528"/>
        <v>104206706.43000001</v>
      </c>
      <c r="H2713" s="4">
        <f t="shared" si="1528"/>
        <v>24005088.899999999</v>
      </c>
      <c r="I2713" s="4">
        <f t="shared" si="1528"/>
        <v>34373920.210000008</v>
      </c>
      <c r="J2713" s="4">
        <f t="shared" si="1528"/>
        <v>28744555.170000002</v>
      </c>
      <c r="K2713" s="4">
        <f t="shared" si="1528"/>
        <v>0</v>
      </c>
      <c r="L2713" s="17">
        <f t="shared" si="1528"/>
        <v>2</v>
      </c>
      <c r="M2713" s="4">
        <f t="shared" si="1528"/>
        <v>7000000</v>
      </c>
      <c r="N2713" s="4">
        <f t="shared" si="1528"/>
        <v>20805</v>
      </c>
      <c r="O2713" s="4">
        <f t="shared" si="1528"/>
        <v>132550766</v>
      </c>
      <c r="P2713" s="4">
        <f t="shared" si="1528"/>
        <v>100</v>
      </c>
      <c r="Q2713" s="4">
        <f t="shared" si="1528"/>
        <v>140000</v>
      </c>
      <c r="R2713" s="4">
        <f t="shared" si="1528"/>
        <v>33938</v>
      </c>
      <c r="S2713" s="4">
        <f t="shared" si="1528"/>
        <v>127301438</v>
      </c>
      <c r="T2713" s="4">
        <f t="shared" si="1528"/>
        <v>2550000</v>
      </c>
      <c r="U2713" s="4">
        <f t="shared" si="1528"/>
        <v>1800000</v>
      </c>
      <c r="V2713" s="4">
        <f t="shared" si="1528"/>
        <v>0</v>
      </c>
      <c r="W2713" s="4">
        <f t="shared" si="1528"/>
        <v>1850000</v>
      </c>
      <c r="X2713" s="4">
        <f t="shared" si="1528"/>
        <v>0</v>
      </c>
      <c r="Y2713" s="4">
        <f t="shared" si="1528"/>
        <v>0</v>
      </c>
      <c r="Z2713" s="4">
        <f t="shared" si="1528"/>
        <v>0</v>
      </c>
      <c r="AA2713" s="4">
        <f t="shared" si="1528"/>
        <v>0</v>
      </c>
      <c r="AB2713" s="4">
        <f t="shared" si="1528"/>
        <v>0</v>
      </c>
      <c r="AC2713" s="4">
        <f t="shared" si="1528"/>
        <v>0</v>
      </c>
      <c r="AD2713" s="4">
        <f t="shared" si="1528"/>
        <v>0</v>
      </c>
    </row>
    <row r="2714" spans="1:30" s="20" customFormat="1" ht="36" customHeight="1" x14ac:dyDescent="0.25">
      <c r="A2714" s="2">
        <f>ROW()-ROW($A$11)-80</f>
        <v>2623</v>
      </c>
      <c r="B2714" s="3">
        <f t="shared" si="1521"/>
        <v>2623</v>
      </c>
      <c r="C2714" s="19" t="s">
        <v>1583</v>
      </c>
      <c r="D2714" s="4">
        <f t="shared" ref="D2714:D2733" si="1529">E2714+M2714+O2714+Q2714+S2714+T2714+U2714+V2714+W2714+X2714+Z2714+AA2714+AB2714+AC2714+AD2714</f>
        <v>23207084.25</v>
      </c>
      <c r="E2714" s="1">
        <f t="shared" ref="E2714:E2759" si="1530">SUM(F2714:K2714)</f>
        <v>13804264.250000002</v>
      </c>
      <c r="F2714" s="1">
        <f>804*3517.01</f>
        <v>2827676.04</v>
      </c>
      <c r="G2714" s="1">
        <f>1693*3517.01</f>
        <v>5954297.9300000006</v>
      </c>
      <c r="H2714" s="1">
        <f>390*3517.01</f>
        <v>1371633.9000000001</v>
      </c>
      <c r="I2714" s="1">
        <f>571*3517.01</f>
        <v>2008212.7100000002</v>
      </c>
      <c r="J2714" s="1">
        <f>467*3517.01</f>
        <v>1642443.6700000002</v>
      </c>
      <c r="K2714" s="1">
        <v>0</v>
      </c>
      <c r="L2714" s="2">
        <v>0</v>
      </c>
      <c r="M2714" s="1">
        <v>0</v>
      </c>
      <c r="N2714" s="1">
        <v>740</v>
      </c>
      <c r="O2714" s="1">
        <f>N2714*4968</f>
        <v>3676320</v>
      </c>
      <c r="P2714" s="1">
        <v>0</v>
      </c>
      <c r="Q2714" s="1">
        <f t="shared" ref="Q2714:Q2759" si="1531">P2714*1400</f>
        <v>0</v>
      </c>
      <c r="R2714" s="1">
        <v>1500</v>
      </c>
      <c r="S2714" s="1">
        <f t="shared" ref="S2714:S2759" si="1532">R2714*3751</f>
        <v>5626500</v>
      </c>
      <c r="T2714" s="1">
        <v>0</v>
      </c>
      <c r="U2714" s="1">
        <v>50000</v>
      </c>
      <c r="V2714" s="1">
        <v>0</v>
      </c>
      <c r="W2714" s="1">
        <v>50000</v>
      </c>
      <c r="X2714" s="1">
        <v>0</v>
      </c>
      <c r="Y2714" s="1">
        <v>0</v>
      </c>
      <c r="Z2714" s="1">
        <v>0</v>
      </c>
      <c r="AA2714" s="1">
        <v>0</v>
      </c>
      <c r="AB2714" s="1">
        <v>0</v>
      </c>
      <c r="AC2714" s="1">
        <v>0</v>
      </c>
      <c r="AD2714" s="1">
        <v>0</v>
      </c>
    </row>
    <row r="2715" spans="1:30" s="20" customFormat="1" ht="36" customHeight="1" x14ac:dyDescent="0.25">
      <c r="A2715" s="2">
        <f t="shared" ref="A2715:A2759" si="1533">ROW()-ROW($A$11)-80</f>
        <v>2624</v>
      </c>
      <c r="B2715" s="3">
        <f t="shared" ref="B2715" si="1534">A2715</f>
        <v>2624</v>
      </c>
      <c r="C2715" s="19" t="s">
        <v>1789</v>
      </c>
      <c r="D2715" s="4">
        <f t="shared" si="1529"/>
        <v>3487500</v>
      </c>
      <c r="E2715" s="1">
        <f t="shared" ref="E2715" si="1535">SUM(F2715:K2715)</f>
        <v>0</v>
      </c>
      <c r="F2715" s="1">
        <v>0</v>
      </c>
      <c r="G2715" s="1">
        <v>0</v>
      </c>
      <c r="H2715" s="1">
        <v>0</v>
      </c>
      <c r="I2715" s="1">
        <v>0</v>
      </c>
      <c r="J2715" s="1">
        <v>0</v>
      </c>
      <c r="K2715" s="1">
        <v>0</v>
      </c>
      <c r="L2715" s="2">
        <v>0</v>
      </c>
      <c r="M2715" s="1">
        <v>0</v>
      </c>
      <c r="N2715" s="1">
        <v>450</v>
      </c>
      <c r="O2715" s="1">
        <f>N2715*7750</f>
        <v>3487500</v>
      </c>
      <c r="P2715" s="1">
        <v>0</v>
      </c>
      <c r="Q2715" s="1">
        <f t="shared" ref="Q2715" si="1536">P2715*1400</f>
        <v>0</v>
      </c>
      <c r="R2715" s="1">
        <v>0</v>
      </c>
      <c r="S2715" s="1">
        <f t="shared" ref="S2715" si="1537">R2715*3751</f>
        <v>0</v>
      </c>
      <c r="T2715" s="1">
        <v>0</v>
      </c>
      <c r="U2715" s="1">
        <v>0</v>
      </c>
      <c r="V2715" s="1">
        <v>0</v>
      </c>
      <c r="W2715" s="1">
        <v>0</v>
      </c>
      <c r="X2715" s="1">
        <v>0</v>
      </c>
      <c r="Y2715" s="1">
        <v>0</v>
      </c>
      <c r="Z2715" s="1">
        <v>0</v>
      </c>
      <c r="AA2715" s="1">
        <v>0</v>
      </c>
      <c r="AB2715" s="1">
        <v>0</v>
      </c>
      <c r="AC2715" s="1">
        <v>0</v>
      </c>
      <c r="AD2715" s="1">
        <v>0</v>
      </c>
    </row>
    <row r="2716" spans="1:30" s="20" customFormat="1" ht="36" customHeight="1" x14ac:dyDescent="0.25">
      <c r="A2716" s="2">
        <f t="shared" si="1533"/>
        <v>2625</v>
      </c>
      <c r="B2716" s="2">
        <f t="shared" si="1521"/>
        <v>2625</v>
      </c>
      <c r="C2716" s="19" t="s">
        <v>1584</v>
      </c>
      <c r="D2716" s="39">
        <f t="shared" si="1529"/>
        <v>8239465</v>
      </c>
      <c r="E2716" s="1">
        <f t="shared" si="1530"/>
        <v>3451644.9999999995</v>
      </c>
      <c r="F2716" s="1">
        <f>804*879.4</f>
        <v>707037.6</v>
      </c>
      <c r="G2716" s="1">
        <f>1693*879.4</f>
        <v>1488824.2</v>
      </c>
      <c r="H2716" s="1">
        <f>390*879.4</f>
        <v>342966</v>
      </c>
      <c r="I2716" s="1">
        <f>571*879.4</f>
        <v>502137.39999999997</v>
      </c>
      <c r="J2716" s="1">
        <f>467*879.4</f>
        <v>410679.8</v>
      </c>
      <c r="K2716" s="1">
        <v>0</v>
      </c>
      <c r="L2716" s="2">
        <v>0</v>
      </c>
      <c r="M2716" s="1">
        <v>0</v>
      </c>
      <c r="N2716" s="1">
        <v>450</v>
      </c>
      <c r="O2716" s="1">
        <f>N2716*7750</f>
        <v>3487500</v>
      </c>
      <c r="P2716" s="1">
        <v>0</v>
      </c>
      <c r="Q2716" s="1">
        <f t="shared" si="1531"/>
        <v>0</v>
      </c>
      <c r="R2716" s="1">
        <v>320</v>
      </c>
      <c r="S2716" s="1">
        <f t="shared" si="1532"/>
        <v>1200320</v>
      </c>
      <c r="T2716" s="1">
        <v>0</v>
      </c>
      <c r="U2716" s="1">
        <v>50000</v>
      </c>
      <c r="V2716" s="1">
        <v>0</v>
      </c>
      <c r="W2716" s="1">
        <v>50000</v>
      </c>
      <c r="X2716" s="1">
        <v>0</v>
      </c>
      <c r="Y2716" s="1">
        <v>0</v>
      </c>
      <c r="Z2716" s="1">
        <v>0</v>
      </c>
      <c r="AA2716" s="1">
        <v>0</v>
      </c>
      <c r="AB2716" s="1">
        <v>0</v>
      </c>
      <c r="AC2716" s="1">
        <v>0</v>
      </c>
      <c r="AD2716" s="1">
        <v>0</v>
      </c>
    </row>
    <row r="2717" spans="1:30" s="20" customFormat="1" ht="36" customHeight="1" x14ac:dyDescent="0.25">
      <c r="A2717" s="2">
        <f t="shared" si="1533"/>
        <v>2626</v>
      </c>
      <c r="B2717" s="2">
        <f t="shared" si="1521"/>
        <v>2626</v>
      </c>
      <c r="C2717" s="19" t="s">
        <v>1585</v>
      </c>
      <c r="D2717" s="39">
        <f t="shared" si="1529"/>
        <v>7132020</v>
      </c>
      <c r="E2717" s="1">
        <f t="shared" si="1530"/>
        <v>2862110.0000000005</v>
      </c>
      <c r="F2717" s="1">
        <f>804*729.2</f>
        <v>586276.80000000005</v>
      </c>
      <c r="G2717" s="1">
        <f>1693*729.2</f>
        <v>1234535.6000000001</v>
      </c>
      <c r="H2717" s="1">
        <f>390*729.2</f>
        <v>284388</v>
      </c>
      <c r="I2717" s="1">
        <f>571*729.2</f>
        <v>416373.2</v>
      </c>
      <c r="J2717" s="1">
        <f>467*729.2</f>
        <v>340536.4</v>
      </c>
      <c r="K2717" s="1">
        <v>0</v>
      </c>
      <c r="L2717" s="2">
        <v>0</v>
      </c>
      <c r="M2717" s="1">
        <v>0</v>
      </c>
      <c r="N2717" s="1">
        <v>560</v>
      </c>
      <c r="O2717" s="1">
        <f>N2717*4968</f>
        <v>2782080</v>
      </c>
      <c r="P2717" s="1">
        <v>0</v>
      </c>
      <c r="Q2717" s="1">
        <f t="shared" si="1531"/>
        <v>0</v>
      </c>
      <c r="R2717" s="1">
        <v>330</v>
      </c>
      <c r="S2717" s="1">
        <f t="shared" si="1532"/>
        <v>1237830</v>
      </c>
      <c r="T2717" s="1">
        <v>150000</v>
      </c>
      <c r="U2717" s="1">
        <v>50000</v>
      </c>
      <c r="V2717" s="1">
        <v>0</v>
      </c>
      <c r="W2717" s="1">
        <v>50000</v>
      </c>
      <c r="X2717" s="1">
        <v>0</v>
      </c>
      <c r="Y2717" s="1">
        <v>0</v>
      </c>
      <c r="Z2717" s="1">
        <v>0</v>
      </c>
      <c r="AA2717" s="1">
        <v>0</v>
      </c>
      <c r="AB2717" s="1">
        <v>0</v>
      </c>
      <c r="AC2717" s="1">
        <v>0</v>
      </c>
      <c r="AD2717" s="1">
        <v>0</v>
      </c>
    </row>
    <row r="2718" spans="1:30" s="20" customFormat="1" ht="36" customHeight="1" x14ac:dyDescent="0.25">
      <c r="A2718" s="2">
        <f t="shared" si="1533"/>
        <v>2627</v>
      </c>
      <c r="B2718" s="3">
        <f t="shared" si="1521"/>
        <v>2627</v>
      </c>
      <c r="C2718" s="19" t="s">
        <v>1586</v>
      </c>
      <c r="D2718" s="4">
        <f t="shared" si="1529"/>
        <v>8575000</v>
      </c>
      <c r="E2718" s="1">
        <f t="shared" si="1530"/>
        <v>0</v>
      </c>
      <c r="F2718" s="1">
        <v>0</v>
      </c>
      <c r="G2718" s="1">
        <v>0</v>
      </c>
      <c r="H2718" s="1">
        <f>390*0</f>
        <v>0</v>
      </c>
      <c r="I2718" s="1">
        <v>0</v>
      </c>
      <c r="J2718" s="1">
        <v>0</v>
      </c>
      <c r="K2718" s="1">
        <v>0</v>
      </c>
      <c r="L2718" s="2">
        <v>0</v>
      </c>
      <c r="M2718" s="1">
        <v>0</v>
      </c>
      <c r="N2718" s="1">
        <v>1100</v>
      </c>
      <c r="O2718" s="1">
        <f t="shared" ref="O2718:O2725" si="1538">N2718*7750</f>
        <v>8525000</v>
      </c>
      <c r="P2718" s="1">
        <v>0</v>
      </c>
      <c r="Q2718" s="1">
        <f t="shared" si="1531"/>
        <v>0</v>
      </c>
      <c r="R2718" s="1">
        <v>0</v>
      </c>
      <c r="S2718" s="1">
        <f t="shared" si="1532"/>
        <v>0</v>
      </c>
      <c r="T2718" s="1">
        <v>0</v>
      </c>
      <c r="U2718" s="1">
        <v>0</v>
      </c>
      <c r="V2718" s="1">
        <v>0</v>
      </c>
      <c r="W2718" s="1">
        <v>50000</v>
      </c>
      <c r="X2718" s="1">
        <v>0</v>
      </c>
      <c r="Y2718" s="1">
        <v>0</v>
      </c>
      <c r="Z2718" s="1">
        <v>0</v>
      </c>
      <c r="AA2718" s="1">
        <v>0</v>
      </c>
      <c r="AB2718" s="1">
        <v>0</v>
      </c>
      <c r="AC2718" s="1">
        <v>0</v>
      </c>
      <c r="AD2718" s="1">
        <v>0</v>
      </c>
    </row>
    <row r="2719" spans="1:30" s="20" customFormat="1" ht="36" customHeight="1" x14ac:dyDescent="0.25">
      <c r="A2719" s="2">
        <f t="shared" si="1533"/>
        <v>2628</v>
      </c>
      <c r="B2719" s="3">
        <f t="shared" si="1521"/>
        <v>2628</v>
      </c>
      <c r="C2719" s="19" t="s">
        <v>2211</v>
      </c>
      <c r="D2719" s="4">
        <f t="shared" si="1529"/>
        <v>8267204</v>
      </c>
      <c r="E2719" s="1">
        <f t="shared" si="1530"/>
        <v>0</v>
      </c>
      <c r="F2719" s="1">
        <v>0</v>
      </c>
      <c r="G2719" s="1">
        <v>0</v>
      </c>
      <c r="H2719" s="1">
        <v>0</v>
      </c>
      <c r="I2719" s="1">
        <v>0</v>
      </c>
      <c r="J2719" s="1">
        <v>0</v>
      </c>
      <c r="K2719" s="1">
        <v>0</v>
      </c>
      <c r="L2719" s="2">
        <v>0</v>
      </c>
      <c r="M2719" s="1">
        <v>0</v>
      </c>
      <c r="N2719" s="1">
        <v>0</v>
      </c>
      <c r="O2719" s="1">
        <v>0</v>
      </c>
      <c r="P2719" s="1">
        <v>0</v>
      </c>
      <c r="Q2719" s="1">
        <f t="shared" si="1531"/>
        <v>0</v>
      </c>
      <c r="R2719" s="1">
        <v>2204</v>
      </c>
      <c r="S2719" s="1">
        <f t="shared" si="1532"/>
        <v>8267204</v>
      </c>
      <c r="T2719" s="1">
        <v>0</v>
      </c>
      <c r="U2719" s="1">
        <v>0</v>
      </c>
      <c r="V2719" s="1">
        <v>0</v>
      </c>
      <c r="W2719" s="1">
        <v>0</v>
      </c>
      <c r="X2719" s="1">
        <v>0</v>
      </c>
      <c r="Y2719" s="1">
        <v>0</v>
      </c>
      <c r="Z2719" s="1">
        <v>0</v>
      </c>
      <c r="AA2719" s="1">
        <v>0</v>
      </c>
      <c r="AB2719" s="1">
        <v>0</v>
      </c>
      <c r="AC2719" s="1">
        <v>0</v>
      </c>
      <c r="AD2719" s="1">
        <v>0</v>
      </c>
    </row>
    <row r="2720" spans="1:30" s="20" customFormat="1" ht="36" customHeight="1" x14ac:dyDescent="0.25">
      <c r="A2720" s="2">
        <f t="shared" si="1533"/>
        <v>2629</v>
      </c>
      <c r="B2720" s="3">
        <f t="shared" ref="B2720" si="1539">A2720</f>
        <v>2629</v>
      </c>
      <c r="C2720" s="19" t="s">
        <v>1587</v>
      </c>
      <c r="D2720" s="4">
        <f t="shared" si="1529"/>
        <v>11072412.5</v>
      </c>
      <c r="E2720" s="1">
        <f t="shared" ref="E2720" si="1540">SUM(F2720:K2720)</f>
        <v>5834512.5</v>
      </c>
      <c r="F2720" s="1">
        <f>804*1486.5</f>
        <v>1195146</v>
      </c>
      <c r="G2720" s="1">
        <f>1693*1486.5</f>
        <v>2516644.5</v>
      </c>
      <c r="H2720" s="1">
        <f>390*1486.5</f>
        <v>579735</v>
      </c>
      <c r="I2720" s="1">
        <f>571*1486.5</f>
        <v>848791.5</v>
      </c>
      <c r="J2720" s="1">
        <f>467*1486.5</f>
        <v>694195.5</v>
      </c>
      <c r="K2720" s="1">
        <v>0</v>
      </c>
      <c r="L2720" s="2">
        <v>0</v>
      </c>
      <c r="M2720" s="1">
        <v>0</v>
      </c>
      <c r="N2720" s="1">
        <v>450</v>
      </c>
      <c r="O2720" s="1">
        <f t="shared" si="1538"/>
        <v>3487500</v>
      </c>
      <c r="P2720" s="1">
        <v>0</v>
      </c>
      <c r="Q2720" s="1">
        <f t="shared" ref="Q2720" si="1541">P2720*1400</f>
        <v>0</v>
      </c>
      <c r="R2720" s="1">
        <v>400</v>
      </c>
      <c r="S2720" s="1">
        <f t="shared" ref="S2720" si="1542">R2720*3751</f>
        <v>1500400</v>
      </c>
      <c r="T2720" s="1">
        <v>150000</v>
      </c>
      <c r="U2720" s="1">
        <v>50000</v>
      </c>
      <c r="V2720" s="1">
        <v>0</v>
      </c>
      <c r="W2720" s="1">
        <v>50000</v>
      </c>
      <c r="X2720" s="1">
        <v>0</v>
      </c>
      <c r="Y2720" s="1">
        <v>0</v>
      </c>
      <c r="Z2720" s="1">
        <v>0</v>
      </c>
      <c r="AA2720" s="1">
        <v>0</v>
      </c>
      <c r="AB2720" s="1">
        <v>0</v>
      </c>
      <c r="AC2720" s="1">
        <v>0</v>
      </c>
      <c r="AD2720" s="1">
        <v>0</v>
      </c>
    </row>
    <row r="2721" spans="1:30" s="20" customFormat="1" ht="36" customHeight="1" x14ac:dyDescent="0.25">
      <c r="A2721" s="2">
        <f t="shared" si="1533"/>
        <v>2630</v>
      </c>
      <c r="B2721" s="3">
        <f t="shared" si="1521"/>
        <v>2630</v>
      </c>
      <c r="C2721" s="19" t="s">
        <v>1794</v>
      </c>
      <c r="D2721" s="4">
        <f t="shared" si="1529"/>
        <v>2000520</v>
      </c>
      <c r="E2721" s="1">
        <f t="shared" si="1530"/>
        <v>0</v>
      </c>
      <c r="F2721" s="1">
        <v>0</v>
      </c>
      <c r="G2721" s="1">
        <v>0</v>
      </c>
      <c r="H2721" s="1">
        <v>0</v>
      </c>
      <c r="I2721" s="1">
        <v>0</v>
      </c>
      <c r="J2721" s="1">
        <v>0</v>
      </c>
      <c r="K2721" s="1">
        <v>0</v>
      </c>
      <c r="L2721" s="2">
        <v>0</v>
      </c>
      <c r="M2721" s="1">
        <v>0</v>
      </c>
      <c r="N2721" s="1">
        <v>0</v>
      </c>
      <c r="O2721" s="1">
        <f t="shared" si="1538"/>
        <v>0</v>
      </c>
      <c r="P2721" s="1">
        <v>0</v>
      </c>
      <c r="Q2721" s="1">
        <f t="shared" si="1531"/>
        <v>0</v>
      </c>
      <c r="R2721" s="1">
        <v>520</v>
      </c>
      <c r="S2721" s="1">
        <f t="shared" si="1532"/>
        <v>1950520</v>
      </c>
      <c r="T2721" s="1">
        <v>0</v>
      </c>
      <c r="U2721" s="1">
        <v>0</v>
      </c>
      <c r="V2721" s="1">
        <v>0</v>
      </c>
      <c r="W2721" s="1">
        <v>50000</v>
      </c>
      <c r="X2721" s="1">
        <v>0</v>
      </c>
      <c r="Y2721" s="1">
        <v>0</v>
      </c>
      <c r="Z2721" s="1">
        <v>0</v>
      </c>
      <c r="AA2721" s="1">
        <v>0</v>
      </c>
      <c r="AB2721" s="1">
        <v>0</v>
      </c>
      <c r="AC2721" s="1">
        <v>0</v>
      </c>
      <c r="AD2721" s="1">
        <v>0</v>
      </c>
    </row>
    <row r="2722" spans="1:30" s="20" customFormat="1" ht="36" customHeight="1" x14ac:dyDescent="0.25">
      <c r="A2722" s="2">
        <f t="shared" si="1533"/>
        <v>2631</v>
      </c>
      <c r="B2722" s="3">
        <f t="shared" si="1521"/>
        <v>2631</v>
      </c>
      <c r="C2722" s="19" t="s">
        <v>1588</v>
      </c>
      <c r="D2722" s="4">
        <f t="shared" si="1529"/>
        <v>8111118.5</v>
      </c>
      <c r="E2722" s="1">
        <f t="shared" si="1530"/>
        <v>2861717.5000000005</v>
      </c>
      <c r="F2722" s="1">
        <f>804*729.1</f>
        <v>586196.4</v>
      </c>
      <c r="G2722" s="1">
        <f>1693*729.1</f>
        <v>1234366.3</v>
      </c>
      <c r="H2722" s="1">
        <f>390*729.1</f>
        <v>284349</v>
      </c>
      <c r="I2722" s="1">
        <f>571*729.1</f>
        <v>416316.10000000003</v>
      </c>
      <c r="J2722" s="1">
        <f>467*729.1</f>
        <v>340489.7</v>
      </c>
      <c r="K2722" s="1">
        <v>0</v>
      </c>
      <c r="L2722" s="2">
        <v>0</v>
      </c>
      <c r="M2722" s="1">
        <v>0</v>
      </c>
      <c r="N2722" s="1">
        <v>451</v>
      </c>
      <c r="O2722" s="1">
        <f t="shared" si="1538"/>
        <v>3495250</v>
      </c>
      <c r="P2722" s="1">
        <v>0</v>
      </c>
      <c r="Q2722" s="1">
        <f t="shared" si="1531"/>
        <v>0</v>
      </c>
      <c r="R2722" s="1">
        <v>401</v>
      </c>
      <c r="S2722" s="1">
        <f>R2722*3751</f>
        <v>1504151</v>
      </c>
      <c r="T2722" s="1">
        <v>150000</v>
      </c>
      <c r="U2722" s="1">
        <v>50000</v>
      </c>
      <c r="V2722" s="1">
        <v>0</v>
      </c>
      <c r="W2722" s="1">
        <v>50000</v>
      </c>
      <c r="X2722" s="1">
        <v>0</v>
      </c>
      <c r="Y2722" s="1">
        <v>0</v>
      </c>
      <c r="Z2722" s="1">
        <v>0</v>
      </c>
      <c r="AA2722" s="1">
        <v>0</v>
      </c>
      <c r="AB2722" s="1">
        <v>0</v>
      </c>
      <c r="AC2722" s="1">
        <v>0</v>
      </c>
      <c r="AD2722" s="1">
        <v>0</v>
      </c>
    </row>
    <row r="2723" spans="1:30" s="20" customFormat="1" ht="36" customHeight="1" x14ac:dyDescent="0.25">
      <c r="A2723" s="2">
        <f t="shared" si="1533"/>
        <v>2632</v>
      </c>
      <c r="B2723" s="3">
        <f t="shared" ref="B2723" si="1543">A2723</f>
        <v>2632</v>
      </c>
      <c r="C2723" s="19" t="s">
        <v>1790</v>
      </c>
      <c r="D2723" s="4">
        <f t="shared" si="1529"/>
        <v>1761571.5999999999</v>
      </c>
      <c r="E2723" s="1">
        <f t="shared" ref="E2723" si="1544">SUM(F2723:K2723)</f>
        <v>1661571.5999999999</v>
      </c>
      <c r="F2723" s="1">
        <f>804*495.4</f>
        <v>398301.6</v>
      </c>
      <c r="G2723" s="1">
        <f>1693*495.4</f>
        <v>838712.2</v>
      </c>
      <c r="H2723" s="1">
        <f>390*495.4</f>
        <v>193206</v>
      </c>
      <c r="I2723" s="1">
        <v>0</v>
      </c>
      <c r="J2723" s="1">
        <f>467*495.4</f>
        <v>231351.8</v>
      </c>
      <c r="K2723" s="1">
        <v>0</v>
      </c>
      <c r="L2723" s="2">
        <v>0</v>
      </c>
      <c r="M2723" s="1">
        <v>0</v>
      </c>
      <c r="N2723" s="1">
        <v>0</v>
      </c>
      <c r="O2723" s="1">
        <f t="shared" si="1538"/>
        <v>0</v>
      </c>
      <c r="P2723" s="1">
        <v>0</v>
      </c>
      <c r="Q2723" s="1">
        <f t="shared" ref="Q2723" si="1545">P2723*1400</f>
        <v>0</v>
      </c>
      <c r="R2723" s="1">
        <v>0</v>
      </c>
      <c r="S2723" s="1">
        <f t="shared" ref="S2723" si="1546">R2723*3751</f>
        <v>0</v>
      </c>
      <c r="T2723" s="1">
        <v>0</v>
      </c>
      <c r="U2723" s="1">
        <v>50000</v>
      </c>
      <c r="V2723" s="1">
        <v>0</v>
      </c>
      <c r="W2723" s="1">
        <v>50000</v>
      </c>
      <c r="X2723" s="1">
        <v>0</v>
      </c>
      <c r="Y2723" s="1">
        <v>0</v>
      </c>
      <c r="Z2723" s="1">
        <v>0</v>
      </c>
      <c r="AA2723" s="1">
        <v>0</v>
      </c>
      <c r="AB2723" s="1">
        <v>0</v>
      </c>
      <c r="AC2723" s="1">
        <v>0</v>
      </c>
      <c r="AD2723" s="1">
        <v>0</v>
      </c>
    </row>
    <row r="2724" spans="1:30" s="20" customFormat="1" ht="36" customHeight="1" x14ac:dyDescent="0.25">
      <c r="A2724" s="2">
        <f t="shared" si="1533"/>
        <v>2633</v>
      </c>
      <c r="B2724" s="3">
        <f t="shared" si="1521"/>
        <v>2633</v>
      </c>
      <c r="C2724" s="19" t="s">
        <v>1589</v>
      </c>
      <c r="D2724" s="4">
        <f t="shared" si="1529"/>
        <v>20336510</v>
      </c>
      <c r="E2724" s="1">
        <f t="shared" si="1530"/>
        <v>9832910</v>
      </c>
      <c r="F2724" s="1">
        <f>804*2505.2</f>
        <v>2014180.7999999998</v>
      </c>
      <c r="G2724" s="1">
        <f>1693*2505.2</f>
        <v>4241303.5999999996</v>
      </c>
      <c r="H2724" s="1">
        <f>390*2505.2</f>
        <v>977027.99999999988</v>
      </c>
      <c r="I2724" s="1">
        <f>571*2505.2</f>
        <v>1430469.2</v>
      </c>
      <c r="J2724" s="1">
        <f>467*2505.2</f>
        <v>1169928.3999999999</v>
      </c>
      <c r="K2724" s="1">
        <v>0</v>
      </c>
      <c r="L2724" s="2">
        <v>0</v>
      </c>
      <c r="M2724" s="1">
        <v>0</v>
      </c>
      <c r="N2724" s="1">
        <v>810</v>
      </c>
      <c r="O2724" s="1">
        <f t="shared" si="1538"/>
        <v>6277500</v>
      </c>
      <c r="P2724" s="1">
        <v>0</v>
      </c>
      <c r="Q2724" s="1">
        <f t="shared" si="1531"/>
        <v>0</v>
      </c>
      <c r="R2724" s="1">
        <v>1100</v>
      </c>
      <c r="S2724" s="1">
        <f t="shared" si="1532"/>
        <v>4126100</v>
      </c>
      <c r="T2724" s="1">
        <v>0</v>
      </c>
      <c r="U2724" s="1">
        <v>50000</v>
      </c>
      <c r="V2724" s="1">
        <v>0</v>
      </c>
      <c r="W2724" s="1">
        <v>50000</v>
      </c>
      <c r="X2724" s="1">
        <v>0</v>
      </c>
      <c r="Y2724" s="1">
        <v>0</v>
      </c>
      <c r="Z2724" s="1">
        <v>0</v>
      </c>
      <c r="AA2724" s="1">
        <v>0</v>
      </c>
      <c r="AB2724" s="1">
        <v>0</v>
      </c>
      <c r="AC2724" s="1">
        <v>0</v>
      </c>
      <c r="AD2724" s="1">
        <v>0</v>
      </c>
    </row>
    <row r="2725" spans="1:30" s="20" customFormat="1" ht="36" customHeight="1" x14ac:dyDescent="0.25">
      <c r="A2725" s="2">
        <f t="shared" si="1533"/>
        <v>2634</v>
      </c>
      <c r="B2725" s="3">
        <f t="shared" si="1521"/>
        <v>2634</v>
      </c>
      <c r="C2725" s="19" t="s">
        <v>1590</v>
      </c>
      <c r="D2725" s="4">
        <f t="shared" si="1529"/>
        <v>23319510</v>
      </c>
      <c r="E2725" s="1">
        <f t="shared" si="1530"/>
        <v>12815909.999999998</v>
      </c>
      <c r="F2725" s="1">
        <f>804*3265.2</f>
        <v>2625220.7999999998</v>
      </c>
      <c r="G2725" s="1">
        <f>1693*3265.2</f>
        <v>5527983.5999999996</v>
      </c>
      <c r="H2725" s="1">
        <f>390*3265.2</f>
        <v>1273428</v>
      </c>
      <c r="I2725" s="1">
        <f>571*3265.2</f>
        <v>1864429.2</v>
      </c>
      <c r="J2725" s="1">
        <f>467*3265.2</f>
        <v>1524848.4</v>
      </c>
      <c r="K2725" s="1">
        <v>0</v>
      </c>
      <c r="L2725" s="2">
        <v>0</v>
      </c>
      <c r="M2725" s="1">
        <v>0</v>
      </c>
      <c r="N2725" s="1">
        <v>810</v>
      </c>
      <c r="O2725" s="1">
        <f t="shared" si="1538"/>
        <v>6277500</v>
      </c>
      <c r="P2725" s="1">
        <v>0</v>
      </c>
      <c r="Q2725" s="1">
        <f t="shared" si="1531"/>
        <v>0</v>
      </c>
      <c r="R2725" s="1">
        <v>1100</v>
      </c>
      <c r="S2725" s="1">
        <f t="shared" si="1532"/>
        <v>4126100</v>
      </c>
      <c r="T2725" s="1">
        <v>0</v>
      </c>
      <c r="U2725" s="1">
        <v>50000</v>
      </c>
      <c r="V2725" s="1">
        <v>0</v>
      </c>
      <c r="W2725" s="1">
        <v>50000</v>
      </c>
      <c r="X2725" s="1">
        <v>0</v>
      </c>
      <c r="Y2725" s="1">
        <v>0</v>
      </c>
      <c r="Z2725" s="1">
        <v>0</v>
      </c>
      <c r="AA2725" s="1">
        <v>0</v>
      </c>
      <c r="AB2725" s="1">
        <v>0</v>
      </c>
      <c r="AC2725" s="1">
        <v>0</v>
      </c>
      <c r="AD2725" s="1">
        <v>0</v>
      </c>
    </row>
    <row r="2726" spans="1:30" s="20" customFormat="1" ht="36" customHeight="1" x14ac:dyDescent="0.25">
      <c r="A2726" s="2">
        <f t="shared" si="1533"/>
        <v>2635</v>
      </c>
      <c r="B2726" s="3">
        <f t="shared" si="1521"/>
        <v>2635</v>
      </c>
      <c r="C2726" s="19" t="s">
        <v>1591</v>
      </c>
      <c r="D2726" s="4">
        <f t="shared" si="1529"/>
        <v>6665123.2000000002</v>
      </c>
      <c r="E2726" s="1">
        <f t="shared" si="1530"/>
        <v>2489023.2000000002</v>
      </c>
      <c r="F2726" s="1">
        <f>804*3095.8</f>
        <v>2489023.2000000002</v>
      </c>
      <c r="G2726" s="1">
        <v>0</v>
      </c>
      <c r="H2726" s="1">
        <v>0</v>
      </c>
      <c r="I2726" s="1">
        <v>0</v>
      </c>
      <c r="J2726" s="1">
        <v>0</v>
      </c>
      <c r="K2726" s="1">
        <v>0</v>
      </c>
      <c r="L2726" s="2">
        <v>0</v>
      </c>
      <c r="M2726" s="1">
        <v>0</v>
      </c>
      <c r="N2726" s="1">
        <v>0</v>
      </c>
      <c r="O2726" s="1">
        <v>0</v>
      </c>
      <c r="P2726" s="1">
        <v>0</v>
      </c>
      <c r="Q2726" s="1">
        <f t="shared" si="1531"/>
        <v>0</v>
      </c>
      <c r="R2726" s="1">
        <v>1100</v>
      </c>
      <c r="S2726" s="1">
        <f t="shared" si="1532"/>
        <v>4126100</v>
      </c>
      <c r="T2726" s="1">
        <v>0</v>
      </c>
      <c r="U2726" s="1">
        <v>50000</v>
      </c>
      <c r="V2726" s="1">
        <v>0</v>
      </c>
      <c r="W2726" s="1">
        <v>0</v>
      </c>
      <c r="X2726" s="1">
        <v>0</v>
      </c>
      <c r="Y2726" s="1">
        <v>0</v>
      </c>
      <c r="Z2726" s="1">
        <v>0</v>
      </c>
      <c r="AA2726" s="1">
        <v>0</v>
      </c>
      <c r="AB2726" s="1">
        <v>0</v>
      </c>
      <c r="AC2726" s="1">
        <v>0</v>
      </c>
      <c r="AD2726" s="1">
        <v>0</v>
      </c>
    </row>
    <row r="2727" spans="1:30" s="20" customFormat="1" ht="36" customHeight="1" x14ac:dyDescent="0.25">
      <c r="A2727" s="2">
        <f t="shared" si="1533"/>
        <v>2636</v>
      </c>
      <c r="B2727" s="3">
        <f t="shared" si="1521"/>
        <v>2636</v>
      </c>
      <c r="C2727" s="19" t="s">
        <v>1592</v>
      </c>
      <c r="D2727" s="4">
        <f t="shared" si="1529"/>
        <v>22726050</v>
      </c>
      <c r="E2727" s="1">
        <f t="shared" si="1530"/>
        <v>12222450</v>
      </c>
      <c r="F2727" s="1">
        <f>804*3114</f>
        <v>2503656</v>
      </c>
      <c r="G2727" s="1">
        <f>1693*3114</f>
        <v>5272002</v>
      </c>
      <c r="H2727" s="1">
        <f>390*3114</f>
        <v>1214460</v>
      </c>
      <c r="I2727" s="1">
        <f>571*3114</f>
        <v>1778094</v>
      </c>
      <c r="J2727" s="1">
        <f>467*3114</f>
        <v>1454238</v>
      </c>
      <c r="K2727" s="1">
        <v>0</v>
      </c>
      <c r="L2727" s="2">
        <v>0</v>
      </c>
      <c r="M2727" s="1">
        <v>0</v>
      </c>
      <c r="N2727" s="1">
        <v>810</v>
      </c>
      <c r="O2727" s="1">
        <f>N2727*7750</f>
        <v>6277500</v>
      </c>
      <c r="P2727" s="1">
        <v>0</v>
      </c>
      <c r="Q2727" s="1">
        <f t="shared" si="1531"/>
        <v>0</v>
      </c>
      <c r="R2727" s="1">
        <v>1100</v>
      </c>
      <c r="S2727" s="1">
        <f t="shared" si="1532"/>
        <v>4126100</v>
      </c>
      <c r="T2727" s="1">
        <v>0</v>
      </c>
      <c r="U2727" s="1">
        <v>50000</v>
      </c>
      <c r="V2727" s="1">
        <v>0</v>
      </c>
      <c r="W2727" s="1">
        <v>50000</v>
      </c>
      <c r="X2727" s="1">
        <v>0</v>
      </c>
      <c r="Y2727" s="1">
        <v>0</v>
      </c>
      <c r="Z2727" s="1">
        <v>0</v>
      </c>
      <c r="AA2727" s="1">
        <v>0</v>
      </c>
      <c r="AB2727" s="1">
        <v>0</v>
      </c>
      <c r="AC2727" s="1">
        <v>0</v>
      </c>
      <c r="AD2727" s="1">
        <v>0</v>
      </c>
    </row>
    <row r="2728" spans="1:30" s="20" customFormat="1" ht="36" customHeight="1" x14ac:dyDescent="0.25">
      <c r="A2728" s="2">
        <f t="shared" si="1533"/>
        <v>2637</v>
      </c>
      <c r="B2728" s="3">
        <f t="shared" si="1521"/>
        <v>2637</v>
      </c>
      <c r="C2728" s="19" t="s">
        <v>1593</v>
      </c>
      <c r="D2728" s="4">
        <f t="shared" si="1529"/>
        <v>19087720</v>
      </c>
      <c r="E2728" s="1">
        <f t="shared" si="1530"/>
        <v>14861620.000000002</v>
      </c>
      <c r="F2728" s="1">
        <f>804*3786.4</f>
        <v>3044265.6</v>
      </c>
      <c r="G2728" s="1">
        <f>1693*3786.4</f>
        <v>6410375.2000000002</v>
      </c>
      <c r="H2728" s="1">
        <f>390*3786.4</f>
        <v>1476696</v>
      </c>
      <c r="I2728" s="1">
        <f>571*3786.4</f>
        <v>2162034.4</v>
      </c>
      <c r="J2728" s="1">
        <f>467*3786.4</f>
        <v>1768248.8</v>
      </c>
      <c r="K2728" s="1">
        <v>0</v>
      </c>
      <c r="L2728" s="2">
        <v>0</v>
      </c>
      <c r="M2728" s="1">
        <v>0</v>
      </c>
      <c r="N2728" s="1">
        <v>0</v>
      </c>
      <c r="O2728" s="1">
        <v>0</v>
      </c>
      <c r="P2728" s="1">
        <v>0</v>
      </c>
      <c r="Q2728" s="1">
        <f t="shared" si="1531"/>
        <v>0</v>
      </c>
      <c r="R2728" s="1">
        <v>1100</v>
      </c>
      <c r="S2728" s="1">
        <f t="shared" si="1532"/>
        <v>4126100</v>
      </c>
      <c r="T2728" s="1">
        <v>0</v>
      </c>
      <c r="U2728" s="1">
        <v>50000</v>
      </c>
      <c r="V2728" s="1">
        <v>0</v>
      </c>
      <c r="W2728" s="1">
        <v>50000</v>
      </c>
      <c r="X2728" s="1">
        <v>0</v>
      </c>
      <c r="Y2728" s="1">
        <v>0</v>
      </c>
      <c r="Z2728" s="1">
        <v>0</v>
      </c>
      <c r="AA2728" s="1">
        <v>0</v>
      </c>
      <c r="AB2728" s="1">
        <v>0</v>
      </c>
      <c r="AC2728" s="1">
        <v>0</v>
      </c>
      <c r="AD2728" s="1">
        <v>0</v>
      </c>
    </row>
    <row r="2729" spans="1:30" s="20" customFormat="1" ht="36" customHeight="1" x14ac:dyDescent="0.25">
      <c r="A2729" s="2">
        <f t="shared" si="1533"/>
        <v>2638</v>
      </c>
      <c r="B2729" s="3">
        <f t="shared" si="1521"/>
        <v>2638</v>
      </c>
      <c r="C2729" s="19" t="s">
        <v>1594</v>
      </c>
      <c r="D2729" s="4">
        <f t="shared" si="1529"/>
        <v>1125300</v>
      </c>
      <c r="E2729" s="1">
        <f t="shared" si="1530"/>
        <v>0</v>
      </c>
      <c r="F2729" s="1">
        <v>0</v>
      </c>
      <c r="G2729" s="1">
        <v>0</v>
      </c>
      <c r="H2729" s="1">
        <v>0</v>
      </c>
      <c r="I2729" s="1">
        <v>0</v>
      </c>
      <c r="J2729" s="1">
        <v>0</v>
      </c>
      <c r="K2729" s="1">
        <v>0</v>
      </c>
      <c r="L2729" s="2">
        <v>0</v>
      </c>
      <c r="M2729" s="1">
        <v>0</v>
      </c>
      <c r="N2729" s="1">
        <v>0</v>
      </c>
      <c r="O2729" s="1">
        <v>0</v>
      </c>
      <c r="P2729" s="1">
        <v>0</v>
      </c>
      <c r="Q2729" s="1">
        <f t="shared" si="1531"/>
        <v>0</v>
      </c>
      <c r="R2729" s="1">
        <v>300</v>
      </c>
      <c r="S2729" s="1">
        <f t="shared" si="1532"/>
        <v>1125300</v>
      </c>
      <c r="T2729" s="1">
        <v>0</v>
      </c>
      <c r="U2729" s="1">
        <v>0</v>
      </c>
      <c r="V2729" s="1">
        <v>0</v>
      </c>
      <c r="W2729" s="1">
        <v>0</v>
      </c>
      <c r="X2729" s="1">
        <v>0</v>
      </c>
      <c r="Y2729" s="1">
        <v>0</v>
      </c>
      <c r="Z2729" s="1">
        <v>0</v>
      </c>
      <c r="AA2729" s="1">
        <v>0</v>
      </c>
      <c r="AB2729" s="1">
        <v>0</v>
      </c>
      <c r="AC2729" s="1">
        <v>0</v>
      </c>
      <c r="AD2729" s="1">
        <v>0</v>
      </c>
    </row>
    <row r="2730" spans="1:30" s="20" customFormat="1" ht="36" customHeight="1" x14ac:dyDescent="0.25">
      <c r="A2730" s="2">
        <f t="shared" si="1533"/>
        <v>2639</v>
      </c>
      <c r="B2730" s="3">
        <f t="shared" si="1521"/>
        <v>2639</v>
      </c>
      <c r="C2730" s="19" t="s">
        <v>1595</v>
      </c>
      <c r="D2730" s="4">
        <f t="shared" si="1529"/>
        <v>6033000</v>
      </c>
      <c r="E2730" s="1">
        <f t="shared" si="1530"/>
        <v>0</v>
      </c>
      <c r="F2730" s="1">
        <v>0</v>
      </c>
      <c r="G2730" s="1">
        <v>0</v>
      </c>
      <c r="H2730" s="1">
        <v>0</v>
      </c>
      <c r="I2730" s="1">
        <v>0</v>
      </c>
      <c r="J2730" s="1">
        <v>0</v>
      </c>
      <c r="K2730" s="1">
        <v>0</v>
      </c>
      <c r="L2730" s="2">
        <v>0</v>
      </c>
      <c r="M2730" s="1">
        <v>0</v>
      </c>
      <c r="N2730" s="1">
        <v>772</v>
      </c>
      <c r="O2730" s="1">
        <f>N2730*7750</f>
        <v>5983000</v>
      </c>
      <c r="P2730" s="1">
        <v>0</v>
      </c>
      <c r="Q2730" s="1">
        <f t="shared" si="1531"/>
        <v>0</v>
      </c>
      <c r="R2730" s="1">
        <v>0</v>
      </c>
      <c r="S2730" s="1">
        <f t="shared" si="1532"/>
        <v>0</v>
      </c>
      <c r="T2730" s="1">
        <v>0</v>
      </c>
      <c r="U2730" s="1">
        <v>0</v>
      </c>
      <c r="V2730" s="1">
        <v>0</v>
      </c>
      <c r="W2730" s="1">
        <v>50000</v>
      </c>
      <c r="X2730" s="1">
        <v>0</v>
      </c>
      <c r="Y2730" s="1">
        <v>0</v>
      </c>
      <c r="Z2730" s="1">
        <v>0</v>
      </c>
      <c r="AA2730" s="1">
        <v>0</v>
      </c>
      <c r="AB2730" s="1">
        <v>0</v>
      </c>
      <c r="AC2730" s="1">
        <v>0</v>
      </c>
      <c r="AD2730" s="1">
        <v>0</v>
      </c>
    </row>
    <row r="2731" spans="1:30" s="20" customFormat="1" ht="36" customHeight="1" x14ac:dyDescent="0.25">
      <c r="A2731" s="2">
        <f t="shared" si="1533"/>
        <v>2640</v>
      </c>
      <c r="B2731" s="3">
        <f t="shared" si="1521"/>
        <v>2640</v>
      </c>
      <c r="C2731" s="19" t="s">
        <v>1596</v>
      </c>
      <c r="D2731" s="4">
        <f t="shared" si="1529"/>
        <v>7390135.5</v>
      </c>
      <c r="E2731" s="1">
        <f t="shared" si="1530"/>
        <v>2703147.5</v>
      </c>
      <c r="F2731" s="1">
        <f>804*688.7</f>
        <v>553714.80000000005</v>
      </c>
      <c r="G2731" s="1">
        <f>1693*688.7</f>
        <v>1165969.1000000001</v>
      </c>
      <c r="H2731" s="1">
        <f>390*688.7</f>
        <v>268593</v>
      </c>
      <c r="I2731" s="1">
        <f>571*688.7</f>
        <v>393247.7</v>
      </c>
      <c r="J2731" s="1">
        <f>467*688.7</f>
        <v>321622.90000000002</v>
      </c>
      <c r="K2731" s="1">
        <v>0</v>
      </c>
      <c r="L2731" s="2">
        <v>0</v>
      </c>
      <c r="M2731" s="1">
        <v>0</v>
      </c>
      <c r="N2731" s="1">
        <v>576</v>
      </c>
      <c r="O2731" s="1">
        <f>N2731*4968</f>
        <v>2861568</v>
      </c>
      <c r="P2731" s="1">
        <v>0</v>
      </c>
      <c r="Q2731" s="1">
        <f t="shared" si="1531"/>
        <v>0</v>
      </c>
      <c r="R2731" s="1">
        <v>420</v>
      </c>
      <c r="S2731" s="1">
        <f t="shared" si="1532"/>
        <v>1575420</v>
      </c>
      <c r="T2731" s="1">
        <v>150000</v>
      </c>
      <c r="U2731" s="1">
        <v>50000</v>
      </c>
      <c r="V2731" s="1">
        <v>0</v>
      </c>
      <c r="W2731" s="1">
        <v>50000</v>
      </c>
      <c r="X2731" s="1">
        <v>0</v>
      </c>
      <c r="Y2731" s="1">
        <v>0</v>
      </c>
      <c r="Z2731" s="1">
        <v>0</v>
      </c>
      <c r="AA2731" s="1">
        <v>0</v>
      </c>
      <c r="AB2731" s="1">
        <v>0</v>
      </c>
      <c r="AC2731" s="1">
        <v>0</v>
      </c>
      <c r="AD2731" s="1">
        <v>0</v>
      </c>
    </row>
    <row r="2732" spans="1:30" s="20" customFormat="1" ht="36" customHeight="1" x14ac:dyDescent="0.25">
      <c r="A2732" s="2">
        <f t="shared" si="1533"/>
        <v>2641</v>
      </c>
      <c r="B2732" s="3">
        <f t="shared" si="1521"/>
        <v>2641</v>
      </c>
      <c r="C2732" s="19" t="s">
        <v>1597</v>
      </c>
      <c r="D2732" s="4">
        <f t="shared" si="1529"/>
        <v>7407798</v>
      </c>
      <c r="E2732" s="1">
        <f t="shared" si="1530"/>
        <v>2720810</v>
      </c>
      <c r="F2732" s="1">
        <f>804*693.2</f>
        <v>557332.80000000005</v>
      </c>
      <c r="G2732" s="1">
        <f>1693*693.2</f>
        <v>1173587.6000000001</v>
      </c>
      <c r="H2732" s="1">
        <f>390*693.2</f>
        <v>270348</v>
      </c>
      <c r="I2732" s="1">
        <f>571*693.2</f>
        <v>395817.2</v>
      </c>
      <c r="J2732" s="1">
        <f>467*693.2</f>
        <v>323724.40000000002</v>
      </c>
      <c r="K2732" s="1">
        <v>0</v>
      </c>
      <c r="L2732" s="2">
        <v>0</v>
      </c>
      <c r="M2732" s="1">
        <v>0</v>
      </c>
      <c r="N2732" s="1">
        <v>576</v>
      </c>
      <c r="O2732" s="1">
        <f>N2732*4968</f>
        <v>2861568</v>
      </c>
      <c r="P2732" s="1">
        <v>0</v>
      </c>
      <c r="Q2732" s="1">
        <f t="shared" si="1531"/>
        <v>0</v>
      </c>
      <c r="R2732" s="1">
        <v>420</v>
      </c>
      <c r="S2732" s="1">
        <f t="shared" si="1532"/>
        <v>1575420</v>
      </c>
      <c r="T2732" s="1">
        <v>150000</v>
      </c>
      <c r="U2732" s="1">
        <v>50000</v>
      </c>
      <c r="V2732" s="1">
        <v>0</v>
      </c>
      <c r="W2732" s="1">
        <v>50000</v>
      </c>
      <c r="X2732" s="1">
        <v>0</v>
      </c>
      <c r="Y2732" s="1">
        <v>0</v>
      </c>
      <c r="Z2732" s="1">
        <v>0</v>
      </c>
      <c r="AA2732" s="1">
        <v>0</v>
      </c>
      <c r="AB2732" s="1">
        <v>0</v>
      </c>
      <c r="AC2732" s="1">
        <v>0</v>
      </c>
      <c r="AD2732" s="1">
        <v>0</v>
      </c>
    </row>
    <row r="2733" spans="1:30" s="20" customFormat="1" ht="36" customHeight="1" x14ac:dyDescent="0.25">
      <c r="A2733" s="2">
        <f>ROW()-ROW($A$11)-80</f>
        <v>2642</v>
      </c>
      <c r="B2733" s="3">
        <f t="shared" si="1521"/>
        <v>2642</v>
      </c>
      <c r="C2733" s="30" t="s">
        <v>2438</v>
      </c>
      <c r="D2733" s="4">
        <f t="shared" si="1529"/>
        <v>7050000</v>
      </c>
      <c r="E2733" s="1">
        <f t="shared" ref="E2733" si="1547">SUM(F2733:K2733)</f>
        <v>0</v>
      </c>
      <c r="F2733" s="1">
        <v>0</v>
      </c>
      <c r="G2733" s="1">
        <v>0</v>
      </c>
      <c r="H2733" s="1">
        <v>0</v>
      </c>
      <c r="I2733" s="1">
        <v>0</v>
      </c>
      <c r="J2733" s="1">
        <v>0</v>
      </c>
      <c r="K2733" s="1">
        <v>0</v>
      </c>
      <c r="L2733" s="2">
        <v>2</v>
      </c>
      <c r="M2733" s="1">
        <f>L2733*3500000</f>
        <v>7000000</v>
      </c>
      <c r="N2733" s="1">
        <v>0</v>
      </c>
      <c r="O2733" s="1">
        <v>0</v>
      </c>
      <c r="P2733" s="1">
        <v>0</v>
      </c>
      <c r="Q2733" s="1">
        <f t="shared" si="1531"/>
        <v>0</v>
      </c>
      <c r="R2733" s="1">
        <v>0</v>
      </c>
      <c r="S2733" s="1">
        <f t="shared" si="1532"/>
        <v>0</v>
      </c>
      <c r="T2733" s="1">
        <v>0</v>
      </c>
      <c r="U2733" s="1">
        <v>50000</v>
      </c>
      <c r="V2733" s="1">
        <v>0</v>
      </c>
      <c r="W2733" s="1">
        <v>0</v>
      </c>
      <c r="X2733" s="1">
        <v>0</v>
      </c>
      <c r="Y2733" s="1">
        <v>0</v>
      </c>
      <c r="Z2733" s="1">
        <v>0</v>
      </c>
      <c r="AA2733" s="1">
        <v>0</v>
      </c>
      <c r="AB2733" s="1">
        <v>0</v>
      </c>
      <c r="AC2733" s="1">
        <v>0</v>
      </c>
      <c r="AD2733" s="1">
        <v>0</v>
      </c>
    </row>
    <row r="2734" spans="1:30" s="20" customFormat="1" ht="36" customHeight="1" x14ac:dyDescent="0.25">
      <c r="A2734" s="2">
        <f t="shared" si="1533"/>
        <v>2643</v>
      </c>
      <c r="B2734" s="6">
        <f t="shared" si="1521"/>
        <v>2643</v>
      </c>
      <c r="C2734" s="19" t="s">
        <v>628</v>
      </c>
      <c r="D2734" s="4">
        <f>E2734+M2734+O2734+Q2734+S2734+T2734+U2734+V2734+W2734+X2734+Z2734+Z2734+AA2734+AB2734+AC2734+AD2734</f>
        <v>2284330</v>
      </c>
      <c r="E2734" s="1">
        <f t="shared" si="1530"/>
        <v>2184330</v>
      </c>
      <c r="F2734" s="1">
        <v>0</v>
      </c>
      <c r="G2734" s="1">
        <f>1693*856.6</f>
        <v>1450223.8</v>
      </c>
      <c r="H2734" s="1">
        <f>390*856.6</f>
        <v>334074</v>
      </c>
      <c r="I2734" s="1">
        <v>0</v>
      </c>
      <c r="J2734" s="1">
        <f>467*856.6</f>
        <v>400032.2</v>
      </c>
      <c r="K2734" s="1">
        <v>0</v>
      </c>
      <c r="L2734" s="2">
        <v>0</v>
      </c>
      <c r="M2734" s="1">
        <f>L2734*3500000</f>
        <v>0</v>
      </c>
      <c r="N2734" s="1">
        <v>0</v>
      </c>
      <c r="O2734" s="1">
        <v>0</v>
      </c>
      <c r="P2734" s="1">
        <v>0</v>
      </c>
      <c r="Q2734" s="1">
        <f t="shared" si="1531"/>
        <v>0</v>
      </c>
      <c r="R2734" s="1">
        <v>0</v>
      </c>
      <c r="S2734" s="1">
        <f t="shared" si="1532"/>
        <v>0</v>
      </c>
      <c r="T2734" s="1">
        <v>0</v>
      </c>
      <c r="U2734" s="1">
        <v>50000</v>
      </c>
      <c r="V2734" s="1">
        <v>0</v>
      </c>
      <c r="W2734" s="1">
        <v>50000</v>
      </c>
      <c r="X2734" s="1">
        <v>0</v>
      </c>
      <c r="Y2734" s="1">
        <v>0</v>
      </c>
      <c r="Z2734" s="1">
        <v>0</v>
      </c>
      <c r="AA2734" s="1">
        <v>0</v>
      </c>
      <c r="AB2734" s="1">
        <v>0</v>
      </c>
      <c r="AC2734" s="1">
        <v>0</v>
      </c>
      <c r="AD2734" s="1">
        <v>0</v>
      </c>
    </row>
    <row r="2735" spans="1:30" s="20" customFormat="1" ht="36" customHeight="1" x14ac:dyDescent="0.25">
      <c r="A2735" s="2">
        <f t="shared" si="1533"/>
        <v>2644</v>
      </c>
      <c r="B2735" s="3">
        <f t="shared" si="1521"/>
        <v>2644</v>
      </c>
      <c r="C2735" s="19" t="s">
        <v>1598</v>
      </c>
      <c r="D2735" s="4">
        <f t="shared" ref="D2735:D2759" si="1548">E2735+M2735+O2735+Q2735+S2735+T2735+U2735+V2735+W2735+X2735+Z2735+AA2735+AB2735+AC2735+AD2735</f>
        <v>4622105</v>
      </c>
      <c r="E2735" s="1">
        <f t="shared" si="1530"/>
        <v>1336855</v>
      </c>
      <c r="F2735" s="1">
        <f>804*340.6</f>
        <v>273842.40000000002</v>
      </c>
      <c r="G2735" s="1">
        <f>1693*340.6</f>
        <v>576635.80000000005</v>
      </c>
      <c r="H2735" s="1">
        <f>390*340.6</f>
        <v>132834</v>
      </c>
      <c r="I2735" s="1">
        <f>571*340.6</f>
        <v>194482.6</v>
      </c>
      <c r="J2735" s="1">
        <f>467*340.6</f>
        <v>159060.20000000001</v>
      </c>
      <c r="K2735" s="1">
        <v>0</v>
      </c>
      <c r="L2735" s="2">
        <v>0</v>
      </c>
      <c r="M2735" s="1">
        <v>0</v>
      </c>
      <c r="N2735" s="1">
        <v>290</v>
      </c>
      <c r="O2735" s="1">
        <f>N2735*7750</f>
        <v>2247500</v>
      </c>
      <c r="P2735" s="1">
        <v>0</v>
      </c>
      <c r="Q2735" s="1">
        <f t="shared" si="1531"/>
        <v>0</v>
      </c>
      <c r="R2735" s="1">
        <v>250</v>
      </c>
      <c r="S2735" s="1">
        <f t="shared" si="1532"/>
        <v>937750</v>
      </c>
      <c r="T2735" s="1">
        <v>0</v>
      </c>
      <c r="U2735" s="1">
        <v>50000</v>
      </c>
      <c r="V2735" s="1">
        <v>0</v>
      </c>
      <c r="W2735" s="1">
        <v>50000</v>
      </c>
      <c r="X2735" s="1">
        <v>0</v>
      </c>
      <c r="Y2735" s="1">
        <v>0</v>
      </c>
      <c r="Z2735" s="1">
        <v>0</v>
      </c>
      <c r="AA2735" s="1">
        <v>0</v>
      </c>
      <c r="AB2735" s="1">
        <v>0</v>
      </c>
      <c r="AC2735" s="1">
        <v>0</v>
      </c>
      <c r="AD2735" s="1">
        <v>0</v>
      </c>
    </row>
    <row r="2736" spans="1:30" s="20" customFormat="1" ht="36" customHeight="1" x14ac:dyDescent="0.25">
      <c r="A2736" s="2">
        <f t="shared" si="1533"/>
        <v>2645</v>
      </c>
      <c r="B2736" s="3">
        <f t="shared" si="1521"/>
        <v>2645</v>
      </c>
      <c r="C2736" s="19" t="s">
        <v>1599</v>
      </c>
      <c r="D2736" s="4">
        <f t="shared" si="1548"/>
        <v>7612970</v>
      </c>
      <c r="E2736" s="1">
        <f t="shared" si="1530"/>
        <v>2637600</v>
      </c>
      <c r="F2736" s="1">
        <f>804*672</f>
        <v>540288</v>
      </c>
      <c r="G2736" s="1">
        <f>1693*672</f>
        <v>1137696</v>
      </c>
      <c r="H2736" s="1">
        <f>390*672</f>
        <v>262080</v>
      </c>
      <c r="I2736" s="1">
        <f>571*672</f>
        <v>383712</v>
      </c>
      <c r="J2736" s="1">
        <f>467*672</f>
        <v>313824</v>
      </c>
      <c r="K2736" s="1">
        <v>0</v>
      </c>
      <c r="L2736" s="2">
        <v>0</v>
      </c>
      <c r="M2736" s="1">
        <v>0</v>
      </c>
      <c r="N2736" s="1">
        <v>450</v>
      </c>
      <c r="O2736" s="1">
        <f>N2736*7750</f>
        <v>3487500</v>
      </c>
      <c r="P2736" s="1">
        <v>0</v>
      </c>
      <c r="Q2736" s="1">
        <f t="shared" si="1531"/>
        <v>0</v>
      </c>
      <c r="R2736" s="1">
        <v>370</v>
      </c>
      <c r="S2736" s="1">
        <f t="shared" si="1532"/>
        <v>1387870</v>
      </c>
      <c r="T2736" s="1">
        <v>0</v>
      </c>
      <c r="U2736" s="1">
        <v>50000</v>
      </c>
      <c r="V2736" s="1">
        <v>0</v>
      </c>
      <c r="W2736" s="1">
        <v>50000</v>
      </c>
      <c r="X2736" s="1">
        <v>0</v>
      </c>
      <c r="Y2736" s="1">
        <v>0</v>
      </c>
      <c r="Z2736" s="1">
        <v>0</v>
      </c>
      <c r="AA2736" s="1">
        <v>0</v>
      </c>
      <c r="AB2736" s="1">
        <v>0</v>
      </c>
      <c r="AC2736" s="1">
        <v>0</v>
      </c>
      <c r="AD2736" s="1">
        <v>0</v>
      </c>
    </row>
    <row r="2737" spans="1:30" s="20" customFormat="1" ht="36" customHeight="1" x14ac:dyDescent="0.25">
      <c r="A2737" s="2">
        <f t="shared" si="1533"/>
        <v>2646</v>
      </c>
      <c r="B2737" s="3">
        <f t="shared" si="1521"/>
        <v>2646</v>
      </c>
      <c r="C2737" s="19" t="s">
        <v>2215</v>
      </c>
      <c r="D2737" s="4">
        <f t="shared" si="1548"/>
        <v>4572469</v>
      </c>
      <c r="E2737" s="1">
        <f t="shared" si="1530"/>
        <v>0</v>
      </c>
      <c r="F2737" s="1">
        <v>0</v>
      </c>
      <c r="G2737" s="1">
        <v>0</v>
      </c>
      <c r="H2737" s="1">
        <v>0</v>
      </c>
      <c r="I2737" s="1">
        <v>0</v>
      </c>
      <c r="J2737" s="1">
        <v>0</v>
      </c>
      <c r="K2737" s="1">
        <v>0</v>
      </c>
      <c r="L2737" s="2">
        <v>0</v>
      </c>
      <c r="M2737" s="1">
        <v>0</v>
      </c>
      <c r="N2737" s="1">
        <v>0</v>
      </c>
      <c r="O2737" s="1">
        <v>0</v>
      </c>
      <c r="P2737" s="1">
        <v>0</v>
      </c>
      <c r="Q2737" s="1">
        <f t="shared" si="1531"/>
        <v>0</v>
      </c>
      <c r="R2737" s="1">
        <v>1219</v>
      </c>
      <c r="S2737" s="1">
        <f t="shared" si="1532"/>
        <v>4572469</v>
      </c>
      <c r="T2737" s="1">
        <v>0</v>
      </c>
      <c r="U2737" s="1">
        <v>0</v>
      </c>
      <c r="V2737" s="1">
        <v>0</v>
      </c>
      <c r="W2737" s="1">
        <v>0</v>
      </c>
      <c r="X2737" s="1">
        <v>0</v>
      </c>
      <c r="Y2737" s="1">
        <v>0</v>
      </c>
      <c r="Z2737" s="1">
        <v>0</v>
      </c>
      <c r="AA2737" s="1">
        <v>0</v>
      </c>
      <c r="AB2737" s="1">
        <v>0</v>
      </c>
      <c r="AC2737" s="1">
        <v>0</v>
      </c>
      <c r="AD2737" s="1">
        <v>0</v>
      </c>
    </row>
    <row r="2738" spans="1:30" s="20" customFormat="1" ht="36" customHeight="1" x14ac:dyDescent="0.25">
      <c r="A2738" s="2">
        <f t="shared" si="1533"/>
        <v>2647</v>
      </c>
      <c r="B2738" s="3">
        <f t="shared" ref="B2738" si="1549">A2738</f>
        <v>2647</v>
      </c>
      <c r="C2738" s="19" t="s">
        <v>2216</v>
      </c>
      <c r="D2738" s="4">
        <f t="shared" si="1548"/>
        <v>6751800</v>
      </c>
      <c r="E2738" s="1">
        <f t="shared" ref="E2738" si="1550">SUM(F2738:K2738)</f>
        <v>0</v>
      </c>
      <c r="F2738" s="1">
        <v>0</v>
      </c>
      <c r="G2738" s="1">
        <v>0</v>
      </c>
      <c r="H2738" s="1">
        <v>0</v>
      </c>
      <c r="I2738" s="1">
        <v>0</v>
      </c>
      <c r="J2738" s="1">
        <v>0</v>
      </c>
      <c r="K2738" s="1">
        <v>0</v>
      </c>
      <c r="L2738" s="2">
        <v>0</v>
      </c>
      <c r="M2738" s="1">
        <v>0</v>
      </c>
      <c r="N2738" s="1">
        <v>0</v>
      </c>
      <c r="O2738" s="1">
        <v>0</v>
      </c>
      <c r="P2738" s="1">
        <v>0</v>
      </c>
      <c r="Q2738" s="1">
        <f t="shared" ref="Q2738" si="1551">P2738*1400</f>
        <v>0</v>
      </c>
      <c r="R2738" s="1">
        <v>1800</v>
      </c>
      <c r="S2738" s="1">
        <f t="shared" ref="S2738" si="1552">R2738*3751</f>
        <v>6751800</v>
      </c>
      <c r="T2738" s="1">
        <v>0</v>
      </c>
      <c r="U2738" s="1">
        <v>0</v>
      </c>
      <c r="V2738" s="1">
        <v>0</v>
      </c>
      <c r="W2738" s="1">
        <v>0</v>
      </c>
      <c r="X2738" s="1">
        <v>0</v>
      </c>
      <c r="Y2738" s="1">
        <v>0</v>
      </c>
      <c r="Z2738" s="1">
        <v>0</v>
      </c>
      <c r="AA2738" s="1">
        <v>0</v>
      </c>
      <c r="AB2738" s="1">
        <v>0</v>
      </c>
      <c r="AC2738" s="1">
        <v>0</v>
      </c>
      <c r="AD2738" s="1">
        <v>0</v>
      </c>
    </row>
    <row r="2739" spans="1:30" s="20" customFormat="1" ht="36" customHeight="1" x14ac:dyDescent="0.25">
      <c r="A2739" s="2">
        <f t="shared" si="1533"/>
        <v>2648</v>
      </c>
      <c r="B2739" s="3">
        <f t="shared" si="1521"/>
        <v>2648</v>
      </c>
      <c r="C2739" s="19" t="s">
        <v>1600</v>
      </c>
      <c r="D2739" s="4">
        <f t="shared" si="1548"/>
        <v>24627457.5</v>
      </c>
      <c r="E2739" s="1">
        <f t="shared" si="1530"/>
        <v>16828437.5</v>
      </c>
      <c r="F2739" s="1">
        <f>804*4287.5</f>
        <v>3447150</v>
      </c>
      <c r="G2739" s="1">
        <f>1693*4287.5</f>
        <v>7258737.5</v>
      </c>
      <c r="H2739" s="1">
        <f>390*4287.5</f>
        <v>1672125</v>
      </c>
      <c r="I2739" s="1">
        <f>571*4287.5</f>
        <v>2448162.5</v>
      </c>
      <c r="J2739" s="1">
        <f>467*4287.5</f>
        <v>2002262.5</v>
      </c>
      <c r="K2739" s="1">
        <v>0</v>
      </c>
      <c r="L2739" s="2">
        <v>0</v>
      </c>
      <c r="M2739" s="1">
        <v>0</v>
      </c>
      <c r="N2739" s="1">
        <v>840</v>
      </c>
      <c r="O2739" s="1">
        <f t="shared" ref="O2739:O2743" si="1553">N2739*4968</f>
        <v>4173120</v>
      </c>
      <c r="P2739" s="1">
        <v>0</v>
      </c>
      <c r="Q2739" s="1">
        <f t="shared" si="1531"/>
        <v>0</v>
      </c>
      <c r="R2739" s="1">
        <v>900</v>
      </c>
      <c r="S2739" s="1">
        <f t="shared" si="1532"/>
        <v>3375900</v>
      </c>
      <c r="T2739" s="1">
        <v>150000</v>
      </c>
      <c r="U2739" s="1">
        <v>50000</v>
      </c>
      <c r="V2739" s="1">
        <v>0</v>
      </c>
      <c r="W2739" s="1">
        <v>50000</v>
      </c>
      <c r="X2739" s="1">
        <v>0</v>
      </c>
      <c r="Y2739" s="1">
        <v>0</v>
      </c>
      <c r="Z2739" s="1">
        <v>0</v>
      </c>
      <c r="AA2739" s="1">
        <v>0</v>
      </c>
      <c r="AB2739" s="1">
        <v>0</v>
      </c>
      <c r="AC2739" s="1">
        <v>0</v>
      </c>
      <c r="AD2739" s="1">
        <v>0</v>
      </c>
    </row>
    <row r="2740" spans="1:30" s="20" customFormat="1" ht="36" customHeight="1" x14ac:dyDescent="0.25">
      <c r="A2740" s="2">
        <f t="shared" si="1533"/>
        <v>2649</v>
      </c>
      <c r="B2740" s="3">
        <f t="shared" si="1521"/>
        <v>2649</v>
      </c>
      <c r="C2740" s="19" t="s">
        <v>1602</v>
      </c>
      <c r="D2740" s="4">
        <f t="shared" si="1548"/>
        <v>29281782.5</v>
      </c>
      <c r="E2740" s="1">
        <f t="shared" si="1530"/>
        <v>17218582.5</v>
      </c>
      <c r="F2740" s="1">
        <f>804*4386.9</f>
        <v>3527067.5999999996</v>
      </c>
      <c r="G2740" s="1">
        <f>1693*4386.9</f>
        <v>7427021.6999999993</v>
      </c>
      <c r="H2740" s="1">
        <f>390*4386.9</f>
        <v>1710890.9999999998</v>
      </c>
      <c r="I2740" s="1">
        <f>571*4386.9</f>
        <v>2504919.9</v>
      </c>
      <c r="J2740" s="1">
        <f>467*4386.9</f>
        <v>2048682.2999999998</v>
      </c>
      <c r="K2740" s="1">
        <v>0</v>
      </c>
      <c r="L2740" s="2">
        <v>0</v>
      </c>
      <c r="M2740" s="1">
        <v>0</v>
      </c>
      <c r="N2740" s="1">
        <v>1200</v>
      </c>
      <c r="O2740" s="1">
        <f t="shared" si="1553"/>
        <v>5961600</v>
      </c>
      <c r="P2740" s="1">
        <v>0</v>
      </c>
      <c r="Q2740" s="1">
        <f t="shared" si="1531"/>
        <v>0</v>
      </c>
      <c r="R2740" s="1">
        <v>1600</v>
      </c>
      <c r="S2740" s="1">
        <f t="shared" si="1532"/>
        <v>6001600</v>
      </c>
      <c r="T2740" s="1">
        <v>0</v>
      </c>
      <c r="U2740" s="1">
        <v>50000</v>
      </c>
      <c r="V2740" s="1">
        <v>0</v>
      </c>
      <c r="W2740" s="1">
        <v>50000</v>
      </c>
      <c r="X2740" s="1">
        <v>0</v>
      </c>
      <c r="Y2740" s="1">
        <v>0</v>
      </c>
      <c r="Z2740" s="1">
        <v>0</v>
      </c>
      <c r="AA2740" s="1">
        <v>0</v>
      </c>
      <c r="AB2740" s="1">
        <v>0</v>
      </c>
      <c r="AC2740" s="1">
        <v>0</v>
      </c>
      <c r="AD2740" s="1">
        <v>0</v>
      </c>
    </row>
    <row r="2741" spans="1:30" s="20" customFormat="1" ht="36" customHeight="1" x14ac:dyDescent="0.25">
      <c r="A2741" s="2">
        <f t="shared" si="1533"/>
        <v>2650</v>
      </c>
      <c r="B2741" s="3">
        <f t="shared" si="1521"/>
        <v>2650</v>
      </c>
      <c r="C2741" s="19" t="s">
        <v>1603</v>
      </c>
      <c r="D2741" s="4">
        <f t="shared" si="1548"/>
        <v>35831430</v>
      </c>
      <c r="E2741" s="1">
        <f t="shared" si="1530"/>
        <v>23768230.000000004</v>
      </c>
      <c r="F2741" s="1">
        <f>804*6055.6</f>
        <v>4868702.4000000004</v>
      </c>
      <c r="G2741" s="1">
        <f>1693*6055.6</f>
        <v>10252130.800000001</v>
      </c>
      <c r="H2741" s="1">
        <f>390*6055.6</f>
        <v>2361684</v>
      </c>
      <c r="I2741" s="1">
        <f>571*6055.6</f>
        <v>3457747.6</v>
      </c>
      <c r="J2741" s="1">
        <f>467*6055.6</f>
        <v>2827965.2</v>
      </c>
      <c r="K2741" s="1">
        <v>0</v>
      </c>
      <c r="L2741" s="2">
        <v>0</v>
      </c>
      <c r="M2741" s="1">
        <v>0</v>
      </c>
      <c r="N2741" s="1">
        <v>1200</v>
      </c>
      <c r="O2741" s="1">
        <f t="shared" si="1553"/>
        <v>5961600</v>
      </c>
      <c r="P2741" s="1">
        <v>0</v>
      </c>
      <c r="Q2741" s="1">
        <f t="shared" si="1531"/>
        <v>0</v>
      </c>
      <c r="R2741" s="1">
        <v>1600</v>
      </c>
      <c r="S2741" s="1">
        <f t="shared" si="1532"/>
        <v>6001600</v>
      </c>
      <c r="T2741" s="1">
        <v>0</v>
      </c>
      <c r="U2741" s="1">
        <v>50000</v>
      </c>
      <c r="V2741" s="1">
        <v>0</v>
      </c>
      <c r="W2741" s="1">
        <v>50000</v>
      </c>
      <c r="X2741" s="1">
        <v>0</v>
      </c>
      <c r="Y2741" s="1">
        <v>0</v>
      </c>
      <c r="Z2741" s="1">
        <v>0</v>
      </c>
      <c r="AA2741" s="1">
        <v>0</v>
      </c>
      <c r="AB2741" s="1">
        <v>0</v>
      </c>
      <c r="AC2741" s="1">
        <v>0</v>
      </c>
      <c r="AD2741" s="1">
        <v>0</v>
      </c>
    </row>
    <row r="2742" spans="1:30" s="20" customFormat="1" ht="36" customHeight="1" x14ac:dyDescent="0.25">
      <c r="A2742" s="2">
        <f t="shared" si="1533"/>
        <v>2651</v>
      </c>
      <c r="B2742" s="3">
        <f t="shared" si="1521"/>
        <v>2651</v>
      </c>
      <c r="C2742" s="19" t="s">
        <v>1604</v>
      </c>
      <c r="D2742" s="4">
        <f t="shared" si="1548"/>
        <v>35128070</v>
      </c>
      <c r="E2742" s="1">
        <f t="shared" si="1530"/>
        <v>23064869.999999996</v>
      </c>
      <c r="F2742" s="1">
        <f>804*5876.4</f>
        <v>4724625.5999999996</v>
      </c>
      <c r="G2742" s="1">
        <f>1693*5876.4</f>
        <v>9948745.1999999993</v>
      </c>
      <c r="H2742" s="1">
        <f>390*5876.4</f>
        <v>2291796</v>
      </c>
      <c r="I2742" s="1">
        <f>571*5876.4</f>
        <v>3355424.4</v>
      </c>
      <c r="J2742" s="1">
        <f>467*5876.4</f>
        <v>2744278.8</v>
      </c>
      <c r="K2742" s="1">
        <v>0</v>
      </c>
      <c r="L2742" s="2">
        <v>0</v>
      </c>
      <c r="M2742" s="1">
        <v>0</v>
      </c>
      <c r="N2742" s="1">
        <v>1200</v>
      </c>
      <c r="O2742" s="1">
        <f t="shared" si="1553"/>
        <v>5961600</v>
      </c>
      <c r="P2742" s="1">
        <v>0</v>
      </c>
      <c r="Q2742" s="1">
        <f t="shared" si="1531"/>
        <v>0</v>
      </c>
      <c r="R2742" s="1">
        <v>1600</v>
      </c>
      <c r="S2742" s="1">
        <f t="shared" si="1532"/>
        <v>6001600</v>
      </c>
      <c r="T2742" s="1">
        <v>0</v>
      </c>
      <c r="U2742" s="1">
        <v>50000</v>
      </c>
      <c r="V2742" s="1">
        <v>0</v>
      </c>
      <c r="W2742" s="1">
        <v>50000</v>
      </c>
      <c r="X2742" s="1">
        <v>0</v>
      </c>
      <c r="Y2742" s="1">
        <v>0</v>
      </c>
      <c r="Z2742" s="1">
        <v>0</v>
      </c>
      <c r="AA2742" s="1">
        <v>0</v>
      </c>
      <c r="AB2742" s="1">
        <v>0</v>
      </c>
      <c r="AC2742" s="1">
        <v>0</v>
      </c>
      <c r="AD2742" s="1">
        <v>0</v>
      </c>
    </row>
    <row r="2743" spans="1:30" s="20" customFormat="1" ht="36" customHeight="1" x14ac:dyDescent="0.25">
      <c r="A2743" s="2">
        <f t="shared" si="1533"/>
        <v>2652</v>
      </c>
      <c r="B2743" s="3">
        <f t="shared" si="1521"/>
        <v>2652</v>
      </c>
      <c r="C2743" s="19" t="s">
        <v>1605</v>
      </c>
      <c r="D2743" s="4">
        <f t="shared" si="1548"/>
        <v>28786840</v>
      </c>
      <c r="E2743" s="1">
        <f t="shared" si="1530"/>
        <v>16723640.000000002</v>
      </c>
      <c r="F2743" s="1">
        <f>804*4260.8</f>
        <v>3425683.2</v>
      </c>
      <c r="G2743" s="1">
        <f>1693*4260.8</f>
        <v>7213534.4000000004</v>
      </c>
      <c r="H2743" s="1">
        <f>390*4260.8</f>
        <v>1661712</v>
      </c>
      <c r="I2743" s="1">
        <f>571*4260.8</f>
        <v>2432916.8000000003</v>
      </c>
      <c r="J2743" s="1">
        <f>467*4260.8</f>
        <v>1989793.6</v>
      </c>
      <c r="K2743" s="1">
        <v>0</v>
      </c>
      <c r="L2743" s="2">
        <v>0</v>
      </c>
      <c r="M2743" s="1">
        <v>0</v>
      </c>
      <c r="N2743" s="1">
        <v>1200</v>
      </c>
      <c r="O2743" s="1">
        <f t="shared" si="1553"/>
        <v>5961600</v>
      </c>
      <c r="P2743" s="1">
        <v>0</v>
      </c>
      <c r="Q2743" s="1">
        <f t="shared" si="1531"/>
        <v>0</v>
      </c>
      <c r="R2743" s="1">
        <v>1600</v>
      </c>
      <c r="S2743" s="1">
        <f t="shared" si="1532"/>
        <v>6001600</v>
      </c>
      <c r="T2743" s="1">
        <v>0</v>
      </c>
      <c r="U2743" s="1">
        <v>50000</v>
      </c>
      <c r="V2743" s="1">
        <v>0</v>
      </c>
      <c r="W2743" s="1">
        <v>50000</v>
      </c>
      <c r="X2743" s="1">
        <v>0</v>
      </c>
      <c r="Y2743" s="1">
        <v>0</v>
      </c>
      <c r="Z2743" s="1">
        <v>0</v>
      </c>
      <c r="AA2743" s="1">
        <v>0</v>
      </c>
      <c r="AB2743" s="1">
        <v>0</v>
      </c>
      <c r="AC2743" s="1">
        <v>0</v>
      </c>
      <c r="AD2743" s="1">
        <v>0</v>
      </c>
    </row>
    <row r="2744" spans="1:30" s="20" customFormat="1" ht="36" customHeight="1" x14ac:dyDescent="0.25">
      <c r="A2744" s="2">
        <f t="shared" si="1533"/>
        <v>2653</v>
      </c>
      <c r="B2744" s="3">
        <f t="shared" si="1521"/>
        <v>2653</v>
      </c>
      <c r="C2744" s="19" t="s">
        <v>1607</v>
      </c>
      <c r="D2744" s="4">
        <f t="shared" si="1548"/>
        <v>24573342.5</v>
      </c>
      <c r="E2744" s="1">
        <f t="shared" si="1530"/>
        <v>12459912.5</v>
      </c>
      <c r="F2744" s="1">
        <f>804*3174.5</f>
        <v>2552298</v>
      </c>
      <c r="G2744" s="1">
        <f>1693*3174.5</f>
        <v>5374428.5</v>
      </c>
      <c r="H2744" s="1">
        <f>390*3174.5</f>
        <v>1238055</v>
      </c>
      <c r="I2744" s="1">
        <f>571*3174.5</f>
        <v>1812639.5</v>
      </c>
      <c r="J2744" s="1">
        <f>467*3174.5</f>
        <v>1482491.5</v>
      </c>
      <c r="K2744" s="1">
        <v>0</v>
      </c>
      <c r="L2744" s="2">
        <v>0</v>
      </c>
      <c r="M2744" s="1">
        <v>0</v>
      </c>
      <c r="N2744" s="1">
        <v>1100</v>
      </c>
      <c r="O2744" s="1">
        <f>N2744*7750</f>
        <v>8525000</v>
      </c>
      <c r="P2744" s="1">
        <v>0</v>
      </c>
      <c r="Q2744" s="1">
        <f t="shared" si="1531"/>
        <v>0</v>
      </c>
      <c r="R2744" s="1">
        <v>930</v>
      </c>
      <c r="S2744" s="1">
        <f t="shared" si="1532"/>
        <v>3488430</v>
      </c>
      <c r="T2744" s="1">
        <v>0</v>
      </c>
      <c r="U2744" s="1">
        <v>50000</v>
      </c>
      <c r="V2744" s="1">
        <v>0</v>
      </c>
      <c r="W2744" s="1">
        <v>50000</v>
      </c>
      <c r="X2744" s="1">
        <v>0</v>
      </c>
      <c r="Y2744" s="1">
        <v>0</v>
      </c>
      <c r="Z2744" s="1">
        <v>0</v>
      </c>
      <c r="AA2744" s="1">
        <v>0</v>
      </c>
      <c r="AB2744" s="1">
        <v>0</v>
      </c>
      <c r="AC2744" s="1">
        <v>0</v>
      </c>
      <c r="AD2744" s="1">
        <v>0</v>
      </c>
    </row>
    <row r="2745" spans="1:30" s="20" customFormat="1" ht="36" customHeight="1" x14ac:dyDescent="0.25">
      <c r="A2745" s="2">
        <f t="shared" si="1533"/>
        <v>2654</v>
      </c>
      <c r="B2745" s="3">
        <f t="shared" si="1521"/>
        <v>2654</v>
      </c>
      <c r="C2745" s="19" t="s">
        <v>2217</v>
      </c>
      <c r="D2745" s="4">
        <f t="shared" si="1548"/>
        <v>6391704</v>
      </c>
      <c r="E2745" s="1">
        <f t="shared" si="1530"/>
        <v>0</v>
      </c>
      <c r="F2745" s="1">
        <v>0</v>
      </c>
      <c r="G2745" s="1">
        <v>0</v>
      </c>
      <c r="H2745" s="1">
        <v>0</v>
      </c>
      <c r="I2745" s="1">
        <v>0</v>
      </c>
      <c r="J2745" s="1">
        <v>0</v>
      </c>
      <c r="K2745" s="1">
        <v>0</v>
      </c>
      <c r="L2745" s="2">
        <v>0</v>
      </c>
      <c r="M2745" s="1">
        <v>0</v>
      </c>
      <c r="N2745" s="1">
        <v>0</v>
      </c>
      <c r="O2745" s="1">
        <v>0</v>
      </c>
      <c r="P2745" s="1">
        <v>0</v>
      </c>
      <c r="Q2745" s="1">
        <f t="shared" si="1531"/>
        <v>0</v>
      </c>
      <c r="R2745" s="1">
        <v>1704</v>
      </c>
      <c r="S2745" s="1">
        <f t="shared" si="1532"/>
        <v>6391704</v>
      </c>
      <c r="T2745" s="1">
        <v>0</v>
      </c>
      <c r="U2745" s="1">
        <v>0</v>
      </c>
      <c r="V2745" s="1">
        <v>0</v>
      </c>
      <c r="W2745" s="1">
        <v>0</v>
      </c>
      <c r="X2745" s="1">
        <v>0</v>
      </c>
      <c r="Y2745" s="1">
        <v>0</v>
      </c>
      <c r="Z2745" s="1">
        <v>0</v>
      </c>
      <c r="AA2745" s="1">
        <v>0</v>
      </c>
      <c r="AB2745" s="1">
        <v>0</v>
      </c>
      <c r="AC2745" s="1">
        <v>0</v>
      </c>
      <c r="AD2745" s="1">
        <v>0</v>
      </c>
    </row>
    <row r="2746" spans="1:30" s="20" customFormat="1" ht="36" customHeight="1" x14ac:dyDescent="0.25">
      <c r="A2746" s="2">
        <f t="shared" si="1533"/>
        <v>2655</v>
      </c>
      <c r="B2746" s="3">
        <f t="shared" si="1521"/>
        <v>2655</v>
      </c>
      <c r="C2746" s="19" t="s">
        <v>1608</v>
      </c>
      <c r="D2746" s="4">
        <f t="shared" si="1548"/>
        <v>7176900</v>
      </c>
      <c r="E2746" s="1">
        <f t="shared" si="1530"/>
        <v>0</v>
      </c>
      <c r="F2746" s="1">
        <v>0</v>
      </c>
      <c r="G2746" s="1">
        <v>0</v>
      </c>
      <c r="H2746" s="1">
        <v>0</v>
      </c>
      <c r="I2746" s="1">
        <v>0</v>
      </c>
      <c r="J2746" s="1">
        <v>0</v>
      </c>
      <c r="K2746" s="1">
        <v>0</v>
      </c>
      <c r="L2746" s="2">
        <v>0</v>
      </c>
      <c r="M2746" s="1">
        <v>0</v>
      </c>
      <c r="N2746" s="1">
        <v>0</v>
      </c>
      <c r="O2746" s="1">
        <v>0</v>
      </c>
      <c r="P2746" s="1">
        <v>0</v>
      </c>
      <c r="Q2746" s="1">
        <f t="shared" si="1531"/>
        <v>0</v>
      </c>
      <c r="R2746" s="1">
        <v>1900</v>
      </c>
      <c r="S2746" s="1">
        <f t="shared" si="1532"/>
        <v>7126900</v>
      </c>
      <c r="T2746" s="1">
        <v>0</v>
      </c>
      <c r="U2746" s="1">
        <v>0</v>
      </c>
      <c r="V2746" s="1">
        <v>0</v>
      </c>
      <c r="W2746" s="1">
        <v>50000</v>
      </c>
      <c r="X2746" s="1">
        <v>0</v>
      </c>
      <c r="Y2746" s="1">
        <v>0</v>
      </c>
      <c r="Z2746" s="1">
        <v>0</v>
      </c>
      <c r="AA2746" s="1">
        <v>0</v>
      </c>
      <c r="AB2746" s="1">
        <v>0</v>
      </c>
      <c r="AC2746" s="1">
        <v>0</v>
      </c>
      <c r="AD2746" s="1">
        <v>0</v>
      </c>
    </row>
    <row r="2747" spans="1:30" s="20" customFormat="1" ht="36" customHeight="1" x14ac:dyDescent="0.25">
      <c r="A2747" s="2">
        <f t="shared" si="1533"/>
        <v>2656</v>
      </c>
      <c r="B2747" s="3">
        <f t="shared" si="1521"/>
        <v>2656</v>
      </c>
      <c r="C2747" s="19" t="s">
        <v>1609</v>
      </c>
      <c r="D2747" s="4">
        <f t="shared" si="1548"/>
        <v>24624407.5</v>
      </c>
      <c r="E2747" s="1">
        <f t="shared" si="1530"/>
        <v>13228427.500000002</v>
      </c>
      <c r="F2747" s="1">
        <f>804*3370.3</f>
        <v>2709721.2</v>
      </c>
      <c r="G2747" s="1">
        <f>1693*3370.3</f>
        <v>5705917.9000000004</v>
      </c>
      <c r="H2747" s="1">
        <f>390*3370.3</f>
        <v>1314417</v>
      </c>
      <c r="I2747" s="1">
        <f>571*3370.3</f>
        <v>1924441.3</v>
      </c>
      <c r="J2747" s="1">
        <f>467*3370.3</f>
        <v>1573930.1</v>
      </c>
      <c r="K2747" s="1">
        <v>0</v>
      </c>
      <c r="L2747" s="2">
        <v>0</v>
      </c>
      <c r="M2747" s="1">
        <v>0</v>
      </c>
      <c r="N2747" s="1">
        <v>960</v>
      </c>
      <c r="O2747" s="1">
        <f>N2747*4968</f>
        <v>4769280</v>
      </c>
      <c r="P2747" s="1">
        <v>0</v>
      </c>
      <c r="Q2747" s="1">
        <f t="shared" si="1531"/>
        <v>0</v>
      </c>
      <c r="R2747" s="1">
        <v>1700</v>
      </c>
      <c r="S2747" s="1">
        <f t="shared" si="1532"/>
        <v>6376700</v>
      </c>
      <c r="T2747" s="1">
        <v>150000</v>
      </c>
      <c r="U2747" s="1">
        <v>50000</v>
      </c>
      <c r="V2747" s="1">
        <v>0</v>
      </c>
      <c r="W2747" s="1">
        <v>50000</v>
      </c>
      <c r="X2747" s="1">
        <v>0</v>
      </c>
      <c r="Y2747" s="1">
        <v>0</v>
      </c>
      <c r="Z2747" s="1">
        <v>0</v>
      </c>
      <c r="AA2747" s="1">
        <v>0</v>
      </c>
      <c r="AB2747" s="1">
        <v>0</v>
      </c>
      <c r="AC2747" s="1">
        <v>0</v>
      </c>
      <c r="AD2747" s="1">
        <v>0</v>
      </c>
    </row>
    <row r="2748" spans="1:30" s="20" customFormat="1" ht="36" customHeight="1" x14ac:dyDescent="0.25">
      <c r="A2748" s="2">
        <f t="shared" si="1533"/>
        <v>2657</v>
      </c>
      <c r="B2748" s="3">
        <f t="shared" si="1521"/>
        <v>2657</v>
      </c>
      <c r="C2748" s="19" t="s">
        <v>1610</v>
      </c>
      <c r="D2748" s="4">
        <f t="shared" si="1548"/>
        <v>7745002.5</v>
      </c>
      <c r="E2748" s="1">
        <f t="shared" si="1530"/>
        <v>1732102.5000000002</v>
      </c>
      <c r="F2748" s="1">
        <f>804*441.3</f>
        <v>354805.2</v>
      </c>
      <c r="G2748" s="1">
        <f>1693*441.3</f>
        <v>747120.9</v>
      </c>
      <c r="H2748" s="1">
        <f>390*441.3</f>
        <v>172107</v>
      </c>
      <c r="I2748" s="1">
        <f>571*441.3</f>
        <v>251982.30000000002</v>
      </c>
      <c r="J2748" s="1">
        <f>467*441.3</f>
        <v>206087.1</v>
      </c>
      <c r="K2748" s="1">
        <v>0</v>
      </c>
      <c r="L2748" s="2">
        <v>0</v>
      </c>
      <c r="M2748" s="1">
        <v>0</v>
      </c>
      <c r="N2748" s="1">
        <v>550</v>
      </c>
      <c r="O2748" s="1">
        <f>N2748*7750</f>
        <v>4262500</v>
      </c>
      <c r="P2748" s="1">
        <v>0</v>
      </c>
      <c r="Q2748" s="1">
        <f t="shared" si="1531"/>
        <v>0</v>
      </c>
      <c r="R2748" s="1">
        <v>400</v>
      </c>
      <c r="S2748" s="1">
        <f t="shared" si="1532"/>
        <v>1500400</v>
      </c>
      <c r="T2748" s="1">
        <v>150000</v>
      </c>
      <c r="U2748" s="1">
        <v>50000</v>
      </c>
      <c r="V2748" s="1">
        <v>0</v>
      </c>
      <c r="W2748" s="1">
        <v>50000</v>
      </c>
      <c r="X2748" s="1">
        <v>0</v>
      </c>
      <c r="Y2748" s="1">
        <v>0</v>
      </c>
      <c r="Z2748" s="1">
        <v>0</v>
      </c>
      <c r="AA2748" s="1">
        <v>0</v>
      </c>
      <c r="AB2748" s="1">
        <v>0</v>
      </c>
      <c r="AC2748" s="1">
        <v>0</v>
      </c>
      <c r="AD2748" s="1">
        <v>0</v>
      </c>
    </row>
    <row r="2749" spans="1:30" s="20" customFormat="1" ht="36" customHeight="1" x14ac:dyDescent="0.25">
      <c r="A2749" s="2">
        <f t="shared" si="1533"/>
        <v>2658</v>
      </c>
      <c r="B2749" s="3">
        <f t="shared" si="1521"/>
        <v>2658</v>
      </c>
      <c r="C2749" s="19" t="s">
        <v>1611</v>
      </c>
      <c r="D2749" s="4">
        <f t="shared" si="1548"/>
        <v>7440815</v>
      </c>
      <c r="E2749" s="1">
        <f t="shared" si="1530"/>
        <v>1427915.0000000002</v>
      </c>
      <c r="F2749" s="1">
        <f>804*363.8</f>
        <v>292495.2</v>
      </c>
      <c r="G2749" s="1">
        <f>1693*363.8</f>
        <v>615913.4</v>
      </c>
      <c r="H2749" s="1">
        <f>390*363.8</f>
        <v>141882</v>
      </c>
      <c r="I2749" s="1">
        <f>571*363.8</f>
        <v>207729.80000000002</v>
      </c>
      <c r="J2749" s="1">
        <f>467*363.8</f>
        <v>169894.6</v>
      </c>
      <c r="K2749" s="1">
        <v>0</v>
      </c>
      <c r="L2749" s="2">
        <v>0</v>
      </c>
      <c r="M2749" s="1">
        <v>0</v>
      </c>
      <c r="N2749" s="1">
        <v>550</v>
      </c>
      <c r="O2749" s="1">
        <f>N2749*7750</f>
        <v>4262500</v>
      </c>
      <c r="P2749" s="1">
        <v>0</v>
      </c>
      <c r="Q2749" s="1">
        <f t="shared" si="1531"/>
        <v>0</v>
      </c>
      <c r="R2749" s="1">
        <v>400</v>
      </c>
      <c r="S2749" s="1">
        <f t="shared" si="1532"/>
        <v>1500400</v>
      </c>
      <c r="T2749" s="1">
        <v>150000</v>
      </c>
      <c r="U2749" s="1">
        <v>50000</v>
      </c>
      <c r="V2749" s="1">
        <v>0</v>
      </c>
      <c r="W2749" s="1">
        <v>50000</v>
      </c>
      <c r="X2749" s="1">
        <v>0</v>
      </c>
      <c r="Y2749" s="1">
        <v>0</v>
      </c>
      <c r="Z2749" s="1">
        <v>0</v>
      </c>
      <c r="AA2749" s="1">
        <v>0</v>
      </c>
      <c r="AB2749" s="1">
        <v>0</v>
      </c>
      <c r="AC2749" s="1">
        <v>0</v>
      </c>
      <c r="AD2749" s="1">
        <v>0</v>
      </c>
    </row>
    <row r="2750" spans="1:30" s="20" customFormat="1" ht="36" customHeight="1" x14ac:dyDescent="0.25">
      <c r="A2750" s="2">
        <f t="shared" si="1533"/>
        <v>2659</v>
      </c>
      <c r="B2750" s="3">
        <f t="shared" si="1521"/>
        <v>2659</v>
      </c>
      <c r="C2750" s="19" t="s">
        <v>1612</v>
      </c>
      <c r="D2750" s="4">
        <f t="shared" si="1548"/>
        <v>7981680</v>
      </c>
      <c r="E2750" s="1">
        <f t="shared" si="1530"/>
        <v>1968780.0000000002</v>
      </c>
      <c r="F2750" s="1">
        <f>804*501.6</f>
        <v>403286.4</v>
      </c>
      <c r="G2750" s="1">
        <f>1693*501.6</f>
        <v>849208.8</v>
      </c>
      <c r="H2750" s="1">
        <f>390*501.6</f>
        <v>195624</v>
      </c>
      <c r="I2750" s="1">
        <f>571*501.6</f>
        <v>286413.60000000003</v>
      </c>
      <c r="J2750" s="1">
        <f>467*501.6</f>
        <v>234247.2</v>
      </c>
      <c r="K2750" s="1">
        <v>0</v>
      </c>
      <c r="L2750" s="2">
        <v>0</v>
      </c>
      <c r="M2750" s="1">
        <v>0</v>
      </c>
      <c r="N2750" s="1">
        <v>550</v>
      </c>
      <c r="O2750" s="1">
        <f>N2750*7750</f>
        <v>4262500</v>
      </c>
      <c r="P2750" s="1">
        <v>0</v>
      </c>
      <c r="Q2750" s="1">
        <f t="shared" si="1531"/>
        <v>0</v>
      </c>
      <c r="R2750" s="1">
        <v>400</v>
      </c>
      <c r="S2750" s="1">
        <f t="shared" si="1532"/>
        <v>1500400</v>
      </c>
      <c r="T2750" s="1">
        <v>150000</v>
      </c>
      <c r="U2750" s="1">
        <v>50000</v>
      </c>
      <c r="V2750" s="1">
        <v>0</v>
      </c>
      <c r="W2750" s="1">
        <v>50000</v>
      </c>
      <c r="X2750" s="1">
        <v>0</v>
      </c>
      <c r="Y2750" s="1">
        <v>0</v>
      </c>
      <c r="Z2750" s="1">
        <v>0</v>
      </c>
      <c r="AA2750" s="1">
        <v>0</v>
      </c>
      <c r="AB2750" s="1">
        <v>0</v>
      </c>
      <c r="AC2750" s="1">
        <v>0</v>
      </c>
      <c r="AD2750" s="1">
        <v>0</v>
      </c>
    </row>
    <row r="2751" spans="1:30" s="20" customFormat="1" ht="36" customHeight="1" x14ac:dyDescent="0.25">
      <c r="A2751" s="2">
        <f t="shared" si="1533"/>
        <v>2660</v>
      </c>
      <c r="B2751" s="3">
        <f t="shared" si="1521"/>
        <v>2660</v>
      </c>
      <c r="C2751" s="19" t="s">
        <v>1613</v>
      </c>
      <c r="D2751" s="4">
        <f t="shared" si="1548"/>
        <v>7171887.5</v>
      </c>
      <c r="E2751" s="1">
        <f t="shared" si="1530"/>
        <v>1308987.5</v>
      </c>
      <c r="F2751" s="1">
        <f>804*333.5</f>
        <v>268134</v>
      </c>
      <c r="G2751" s="1">
        <f>1693*333.5</f>
        <v>564615.5</v>
      </c>
      <c r="H2751" s="1">
        <f>390*333.5</f>
        <v>130065</v>
      </c>
      <c r="I2751" s="1">
        <f>571*333.5</f>
        <v>190428.5</v>
      </c>
      <c r="J2751" s="1">
        <f>467*333.5</f>
        <v>155744.5</v>
      </c>
      <c r="K2751" s="1">
        <v>0</v>
      </c>
      <c r="L2751" s="2">
        <v>0</v>
      </c>
      <c r="M2751" s="1">
        <v>0</v>
      </c>
      <c r="N2751" s="1">
        <v>550</v>
      </c>
      <c r="O2751" s="1">
        <f>N2751*7750</f>
        <v>4262500</v>
      </c>
      <c r="P2751" s="1">
        <v>0</v>
      </c>
      <c r="Q2751" s="1">
        <f t="shared" si="1531"/>
        <v>0</v>
      </c>
      <c r="R2751" s="1">
        <v>400</v>
      </c>
      <c r="S2751" s="1">
        <f t="shared" si="1532"/>
        <v>1500400</v>
      </c>
      <c r="T2751" s="1">
        <v>0</v>
      </c>
      <c r="U2751" s="1">
        <v>50000</v>
      </c>
      <c r="V2751" s="1">
        <v>0</v>
      </c>
      <c r="W2751" s="1">
        <v>50000</v>
      </c>
      <c r="X2751" s="1">
        <v>0</v>
      </c>
      <c r="Y2751" s="1">
        <v>0</v>
      </c>
      <c r="Z2751" s="1">
        <v>0</v>
      </c>
      <c r="AA2751" s="1">
        <v>0</v>
      </c>
      <c r="AB2751" s="1">
        <v>0</v>
      </c>
      <c r="AC2751" s="1">
        <v>0</v>
      </c>
      <c r="AD2751" s="1">
        <v>0</v>
      </c>
    </row>
    <row r="2752" spans="1:30" s="20" customFormat="1" ht="36" customHeight="1" x14ac:dyDescent="0.25">
      <c r="A2752" s="2">
        <f t="shared" si="1533"/>
        <v>2661</v>
      </c>
      <c r="B2752" s="3">
        <f t="shared" si="1521"/>
        <v>2661</v>
      </c>
      <c r="C2752" s="19" t="s">
        <v>1614</v>
      </c>
      <c r="D2752" s="4">
        <f t="shared" si="1548"/>
        <v>4972302.5</v>
      </c>
      <c r="E2752" s="1">
        <f t="shared" si="1530"/>
        <v>2846802.5</v>
      </c>
      <c r="F2752" s="1">
        <f>804*725.3</f>
        <v>583141.19999999995</v>
      </c>
      <c r="G2752" s="1">
        <f>1693*725.3</f>
        <v>1227932.8999999999</v>
      </c>
      <c r="H2752" s="1">
        <f>390*725.3</f>
        <v>282867</v>
      </c>
      <c r="I2752" s="1">
        <f>571*725.3</f>
        <v>414146.3</v>
      </c>
      <c r="J2752" s="1">
        <f>467*725.3</f>
        <v>338715.1</v>
      </c>
      <c r="K2752" s="1">
        <v>0</v>
      </c>
      <c r="L2752" s="2">
        <v>0</v>
      </c>
      <c r="M2752" s="1">
        <v>0</v>
      </c>
      <c r="N2752" s="1">
        <v>0</v>
      </c>
      <c r="O2752" s="1">
        <v>0</v>
      </c>
      <c r="P2752" s="1">
        <v>0</v>
      </c>
      <c r="Q2752" s="1">
        <f t="shared" si="1531"/>
        <v>0</v>
      </c>
      <c r="R2752" s="1">
        <v>500</v>
      </c>
      <c r="S2752" s="1">
        <f t="shared" si="1532"/>
        <v>1875500</v>
      </c>
      <c r="T2752" s="1">
        <v>150000</v>
      </c>
      <c r="U2752" s="1">
        <v>50000</v>
      </c>
      <c r="V2752" s="1">
        <v>0</v>
      </c>
      <c r="W2752" s="1">
        <v>50000</v>
      </c>
      <c r="X2752" s="1">
        <v>0</v>
      </c>
      <c r="Y2752" s="1">
        <v>0</v>
      </c>
      <c r="Z2752" s="1">
        <v>0</v>
      </c>
      <c r="AA2752" s="1">
        <v>0</v>
      </c>
      <c r="AB2752" s="1">
        <v>0</v>
      </c>
      <c r="AC2752" s="1">
        <v>0</v>
      </c>
      <c r="AD2752" s="1">
        <v>0</v>
      </c>
    </row>
    <row r="2753" spans="1:30" s="20" customFormat="1" ht="36" customHeight="1" x14ac:dyDescent="0.25">
      <c r="A2753" s="2">
        <f t="shared" si="1533"/>
        <v>2662</v>
      </c>
      <c r="B2753" s="3">
        <f t="shared" si="1521"/>
        <v>2662</v>
      </c>
      <c r="C2753" s="19" t="s">
        <v>1615</v>
      </c>
      <c r="D2753" s="4">
        <f t="shared" si="1548"/>
        <v>5000955</v>
      </c>
      <c r="E2753" s="1">
        <f t="shared" si="1530"/>
        <v>2875455.0000000005</v>
      </c>
      <c r="F2753" s="1">
        <f>804*732.6</f>
        <v>589010.4</v>
      </c>
      <c r="G2753" s="1">
        <f>1693*732.6</f>
        <v>1240291.8</v>
      </c>
      <c r="H2753" s="1">
        <f>390*732.6</f>
        <v>285714</v>
      </c>
      <c r="I2753" s="1">
        <f>571*732.6</f>
        <v>418314.60000000003</v>
      </c>
      <c r="J2753" s="1">
        <f>467*732.6</f>
        <v>342124.2</v>
      </c>
      <c r="K2753" s="1">
        <v>0</v>
      </c>
      <c r="L2753" s="2">
        <v>0</v>
      </c>
      <c r="M2753" s="1">
        <v>0</v>
      </c>
      <c r="N2753" s="1">
        <v>0</v>
      </c>
      <c r="O2753" s="1">
        <v>0</v>
      </c>
      <c r="P2753" s="1">
        <v>0</v>
      </c>
      <c r="Q2753" s="1">
        <f t="shared" si="1531"/>
        <v>0</v>
      </c>
      <c r="R2753" s="1">
        <v>500</v>
      </c>
      <c r="S2753" s="1">
        <f t="shared" si="1532"/>
        <v>1875500</v>
      </c>
      <c r="T2753" s="1">
        <v>150000</v>
      </c>
      <c r="U2753" s="1">
        <v>50000</v>
      </c>
      <c r="V2753" s="1">
        <v>0</v>
      </c>
      <c r="W2753" s="1">
        <v>50000</v>
      </c>
      <c r="X2753" s="1">
        <v>0</v>
      </c>
      <c r="Y2753" s="1">
        <v>0</v>
      </c>
      <c r="Z2753" s="1">
        <v>0</v>
      </c>
      <c r="AA2753" s="1">
        <v>0</v>
      </c>
      <c r="AB2753" s="1">
        <v>0</v>
      </c>
      <c r="AC2753" s="1">
        <v>0</v>
      </c>
      <c r="AD2753" s="1">
        <v>0</v>
      </c>
    </row>
    <row r="2754" spans="1:30" s="20" customFormat="1" ht="36" customHeight="1" x14ac:dyDescent="0.25">
      <c r="A2754" s="2">
        <f t="shared" si="1533"/>
        <v>2663</v>
      </c>
      <c r="B2754" s="3">
        <f t="shared" si="1521"/>
        <v>2663</v>
      </c>
      <c r="C2754" s="19" t="s">
        <v>1616</v>
      </c>
      <c r="D2754" s="4">
        <f t="shared" si="1548"/>
        <v>5193280</v>
      </c>
      <c r="E2754" s="1">
        <f t="shared" si="1530"/>
        <v>3067780.0000000005</v>
      </c>
      <c r="F2754" s="1">
        <f>804*781.6</f>
        <v>628406.4</v>
      </c>
      <c r="G2754" s="1">
        <f>1693*781.6</f>
        <v>1323248.8</v>
      </c>
      <c r="H2754" s="1">
        <f>390*781.6</f>
        <v>304824</v>
      </c>
      <c r="I2754" s="1">
        <f>571*781.6</f>
        <v>446293.60000000003</v>
      </c>
      <c r="J2754" s="1">
        <f>467*781.6</f>
        <v>365007.2</v>
      </c>
      <c r="K2754" s="1">
        <v>0</v>
      </c>
      <c r="L2754" s="2">
        <v>0</v>
      </c>
      <c r="M2754" s="1">
        <v>0</v>
      </c>
      <c r="N2754" s="1">
        <v>0</v>
      </c>
      <c r="O2754" s="1">
        <v>0</v>
      </c>
      <c r="P2754" s="1">
        <v>0</v>
      </c>
      <c r="Q2754" s="1">
        <f t="shared" si="1531"/>
        <v>0</v>
      </c>
      <c r="R2754" s="1">
        <v>500</v>
      </c>
      <c r="S2754" s="1">
        <f t="shared" si="1532"/>
        <v>1875500</v>
      </c>
      <c r="T2754" s="1">
        <v>150000</v>
      </c>
      <c r="U2754" s="1">
        <v>50000</v>
      </c>
      <c r="V2754" s="1">
        <v>0</v>
      </c>
      <c r="W2754" s="1">
        <v>50000</v>
      </c>
      <c r="X2754" s="1">
        <v>0</v>
      </c>
      <c r="Y2754" s="1">
        <v>0</v>
      </c>
      <c r="Z2754" s="1">
        <v>0</v>
      </c>
      <c r="AA2754" s="1">
        <v>0</v>
      </c>
      <c r="AB2754" s="1">
        <v>0</v>
      </c>
      <c r="AC2754" s="1">
        <v>0</v>
      </c>
      <c r="AD2754" s="1">
        <v>0</v>
      </c>
    </row>
    <row r="2755" spans="1:30" s="20" customFormat="1" ht="36" customHeight="1" x14ac:dyDescent="0.25">
      <c r="A2755" s="2">
        <f t="shared" si="1533"/>
        <v>2664</v>
      </c>
      <c r="B2755" s="3">
        <f t="shared" si="1521"/>
        <v>2664</v>
      </c>
      <c r="C2755" s="19" t="s">
        <v>1617</v>
      </c>
      <c r="D2755" s="4">
        <f t="shared" si="1548"/>
        <v>6168365</v>
      </c>
      <c r="E2755" s="1">
        <f t="shared" si="1530"/>
        <v>1630444.9999999998</v>
      </c>
      <c r="F2755" s="1">
        <f>804*415.4</f>
        <v>333981.59999999998</v>
      </c>
      <c r="G2755" s="1">
        <f>1693*415.4</f>
        <v>703272.2</v>
      </c>
      <c r="H2755" s="1">
        <f>390*415.4</f>
        <v>162006</v>
      </c>
      <c r="I2755" s="1">
        <f>571*415.4</f>
        <v>237193.4</v>
      </c>
      <c r="J2755" s="1">
        <f>467*415.4</f>
        <v>193991.8</v>
      </c>
      <c r="K2755" s="1">
        <v>0</v>
      </c>
      <c r="L2755" s="2">
        <v>0</v>
      </c>
      <c r="M2755" s="1">
        <v>0</v>
      </c>
      <c r="N2755" s="1">
        <v>350</v>
      </c>
      <c r="O2755" s="1">
        <f>N2755*7750</f>
        <v>2712500</v>
      </c>
      <c r="P2755" s="1">
        <v>0</v>
      </c>
      <c r="Q2755" s="1">
        <f t="shared" si="1531"/>
        <v>0</v>
      </c>
      <c r="R2755" s="1">
        <v>420</v>
      </c>
      <c r="S2755" s="1">
        <f t="shared" si="1532"/>
        <v>1575420</v>
      </c>
      <c r="T2755" s="1">
        <v>150000</v>
      </c>
      <c r="U2755" s="1">
        <v>50000</v>
      </c>
      <c r="V2755" s="1">
        <v>0</v>
      </c>
      <c r="W2755" s="1">
        <v>50000</v>
      </c>
      <c r="X2755" s="1">
        <v>0</v>
      </c>
      <c r="Y2755" s="1">
        <v>0</v>
      </c>
      <c r="Z2755" s="1">
        <v>0</v>
      </c>
      <c r="AA2755" s="1">
        <v>0</v>
      </c>
      <c r="AB2755" s="1">
        <v>0</v>
      </c>
      <c r="AC2755" s="1">
        <v>0</v>
      </c>
      <c r="AD2755" s="1">
        <v>0</v>
      </c>
    </row>
    <row r="2756" spans="1:30" s="20" customFormat="1" ht="36" customHeight="1" x14ac:dyDescent="0.25">
      <c r="A2756" s="2">
        <f t="shared" si="1533"/>
        <v>2665</v>
      </c>
      <c r="B2756" s="6">
        <f>A2756</f>
        <v>2665</v>
      </c>
      <c r="C2756" s="19" t="s">
        <v>630</v>
      </c>
      <c r="D2756" s="4">
        <f t="shared" si="1548"/>
        <v>259361.59999999998</v>
      </c>
      <c r="E2756" s="1">
        <f t="shared" si="1530"/>
        <v>209361.59999999998</v>
      </c>
      <c r="F2756" s="1">
        <f>804*260.4</f>
        <v>209361.59999999998</v>
      </c>
      <c r="G2756" s="1">
        <v>0</v>
      </c>
      <c r="H2756" s="1">
        <v>0</v>
      </c>
      <c r="I2756" s="1">
        <v>0</v>
      </c>
      <c r="J2756" s="1">
        <v>0</v>
      </c>
      <c r="K2756" s="1">
        <v>0</v>
      </c>
      <c r="L2756" s="2">
        <v>0</v>
      </c>
      <c r="M2756" s="1">
        <f>L2756*3500000</f>
        <v>0</v>
      </c>
      <c r="N2756" s="1">
        <v>0</v>
      </c>
      <c r="O2756" s="1">
        <v>0</v>
      </c>
      <c r="P2756" s="1">
        <v>0</v>
      </c>
      <c r="Q2756" s="1">
        <f t="shared" si="1531"/>
        <v>0</v>
      </c>
      <c r="R2756" s="1">
        <v>0</v>
      </c>
      <c r="S2756" s="1">
        <f t="shared" si="1532"/>
        <v>0</v>
      </c>
      <c r="T2756" s="1">
        <v>0</v>
      </c>
      <c r="U2756" s="1">
        <v>50000</v>
      </c>
      <c r="V2756" s="1">
        <v>0</v>
      </c>
      <c r="W2756" s="1">
        <v>0</v>
      </c>
      <c r="X2756" s="1">
        <v>0</v>
      </c>
      <c r="Y2756" s="1">
        <v>0</v>
      </c>
      <c r="Z2756" s="1">
        <v>0</v>
      </c>
      <c r="AA2756" s="1">
        <v>0</v>
      </c>
      <c r="AB2756" s="1">
        <v>0</v>
      </c>
      <c r="AC2756" s="1">
        <v>0</v>
      </c>
      <c r="AD2756" s="1">
        <v>0</v>
      </c>
    </row>
    <row r="2757" spans="1:30" s="20" customFormat="1" ht="36" customHeight="1" x14ac:dyDescent="0.25">
      <c r="A2757" s="2">
        <f t="shared" si="1533"/>
        <v>2666</v>
      </c>
      <c r="B2757" s="3">
        <f t="shared" si="1521"/>
        <v>2666</v>
      </c>
      <c r="C2757" s="19" t="s">
        <v>1618</v>
      </c>
      <c r="D2757" s="4">
        <f t="shared" si="1548"/>
        <v>5671207.5</v>
      </c>
      <c r="E2757" s="1">
        <f t="shared" si="1530"/>
        <v>2101837.5</v>
      </c>
      <c r="F2757" s="1">
        <f>804*535.5</f>
        <v>430542</v>
      </c>
      <c r="G2757" s="1">
        <f>1693*535.5</f>
        <v>906601.5</v>
      </c>
      <c r="H2757" s="1">
        <f>390*535.5</f>
        <v>208845</v>
      </c>
      <c r="I2757" s="1">
        <f>571*535.5</f>
        <v>305770.5</v>
      </c>
      <c r="J2757" s="1">
        <f>467*535.5</f>
        <v>250078.5</v>
      </c>
      <c r="K2757" s="1">
        <v>0</v>
      </c>
      <c r="L2757" s="2">
        <v>0</v>
      </c>
      <c r="M2757" s="1">
        <v>0</v>
      </c>
      <c r="N2757" s="1">
        <v>420</v>
      </c>
      <c r="O2757" s="1">
        <f>N2757*4968</f>
        <v>2086560</v>
      </c>
      <c r="P2757" s="1">
        <v>50</v>
      </c>
      <c r="Q2757" s="1">
        <f t="shared" si="1531"/>
        <v>70000</v>
      </c>
      <c r="R2757" s="1">
        <v>310</v>
      </c>
      <c r="S2757" s="1">
        <f t="shared" si="1532"/>
        <v>1162810</v>
      </c>
      <c r="T2757" s="1">
        <v>150000</v>
      </c>
      <c r="U2757" s="1">
        <v>50000</v>
      </c>
      <c r="V2757" s="1">
        <v>0</v>
      </c>
      <c r="W2757" s="1">
        <v>50000</v>
      </c>
      <c r="X2757" s="1">
        <v>0</v>
      </c>
      <c r="Y2757" s="1">
        <v>0</v>
      </c>
      <c r="Z2757" s="1">
        <v>0</v>
      </c>
      <c r="AA2757" s="1">
        <v>0</v>
      </c>
      <c r="AB2757" s="1">
        <v>0</v>
      </c>
      <c r="AC2757" s="1">
        <v>0</v>
      </c>
      <c r="AD2757" s="1">
        <v>0</v>
      </c>
    </row>
    <row r="2758" spans="1:30" s="20" customFormat="1" ht="36" customHeight="1" x14ac:dyDescent="0.25">
      <c r="A2758" s="2">
        <f t="shared" si="1533"/>
        <v>2667</v>
      </c>
      <c r="B2758" s="2">
        <f>A2758</f>
        <v>2667</v>
      </c>
      <c r="C2758" s="19" t="s">
        <v>1620</v>
      </c>
      <c r="D2758" s="4">
        <f t="shared" si="1548"/>
        <v>6612030</v>
      </c>
      <c r="E2758" s="1">
        <f>SUM(F2758:K2758)</f>
        <v>3042660.0000000005</v>
      </c>
      <c r="F2758" s="1">
        <f>804*775.2</f>
        <v>623260.80000000005</v>
      </c>
      <c r="G2758" s="1">
        <f>1693*775.2</f>
        <v>1312413.6000000001</v>
      </c>
      <c r="H2758" s="1">
        <f>390*775.2</f>
        <v>302328</v>
      </c>
      <c r="I2758" s="1">
        <f>571*775.2</f>
        <v>442639.2</v>
      </c>
      <c r="J2758" s="1">
        <f>467*775.2</f>
        <v>362018.4</v>
      </c>
      <c r="K2758" s="1">
        <v>0</v>
      </c>
      <c r="L2758" s="2">
        <v>0</v>
      </c>
      <c r="M2758" s="1">
        <v>0</v>
      </c>
      <c r="N2758" s="1">
        <v>420</v>
      </c>
      <c r="O2758" s="1">
        <f>N2758*4968</f>
        <v>2086560</v>
      </c>
      <c r="P2758" s="1">
        <v>50</v>
      </c>
      <c r="Q2758" s="1">
        <f>P2758*1400</f>
        <v>70000</v>
      </c>
      <c r="R2758" s="1">
        <v>310</v>
      </c>
      <c r="S2758" s="1">
        <f>R2758*3751</f>
        <v>1162810</v>
      </c>
      <c r="T2758" s="1">
        <v>150000</v>
      </c>
      <c r="U2758" s="1">
        <v>50000</v>
      </c>
      <c r="V2758" s="1">
        <v>0</v>
      </c>
      <c r="W2758" s="1">
        <v>50000</v>
      </c>
      <c r="X2758" s="1">
        <v>0</v>
      </c>
      <c r="Y2758" s="1">
        <v>0</v>
      </c>
      <c r="Z2758" s="1">
        <v>0</v>
      </c>
      <c r="AA2758" s="1">
        <v>0</v>
      </c>
      <c r="AB2758" s="1">
        <v>0</v>
      </c>
      <c r="AC2758" s="1">
        <v>0</v>
      </c>
      <c r="AD2758" s="1">
        <v>0</v>
      </c>
    </row>
    <row r="2759" spans="1:30" s="20" customFormat="1" ht="36" customHeight="1" x14ac:dyDescent="0.25">
      <c r="A2759" s="2">
        <f t="shared" si="1533"/>
        <v>2668</v>
      </c>
      <c r="B2759" s="2">
        <f t="shared" si="1521"/>
        <v>2668</v>
      </c>
      <c r="C2759" s="19" t="s">
        <v>1619</v>
      </c>
      <c r="D2759" s="39">
        <f t="shared" si="1548"/>
        <v>6542030</v>
      </c>
      <c r="E2759" s="1">
        <f t="shared" si="1530"/>
        <v>3042660.0000000005</v>
      </c>
      <c r="F2759" s="1">
        <f>804*775.2</f>
        <v>623260.80000000005</v>
      </c>
      <c r="G2759" s="1">
        <f>1693*775.2</f>
        <v>1312413.6000000001</v>
      </c>
      <c r="H2759" s="1">
        <f>390*775.2</f>
        <v>302328</v>
      </c>
      <c r="I2759" s="1">
        <f>571*775.2</f>
        <v>442639.2</v>
      </c>
      <c r="J2759" s="1">
        <f>467*775.2</f>
        <v>362018.4</v>
      </c>
      <c r="K2759" s="1">
        <v>0</v>
      </c>
      <c r="L2759" s="2">
        <v>0</v>
      </c>
      <c r="M2759" s="1">
        <v>0</v>
      </c>
      <c r="N2759" s="1">
        <v>420</v>
      </c>
      <c r="O2759" s="1">
        <f>N2759*4968</f>
        <v>2086560</v>
      </c>
      <c r="P2759" s="1">
        <v>0</v>
      </c>
      <c r="Q2759" s="1">
        <f t="shared" si="1531"/>
        <v>0</v>
      </c>
      <c r="R2759" s="1">
        <v>310</v>
      </c>
      <c r="S2759" s="1">
        <f t="shared" si="1532"/>
        <v>1162810</v>
      </c>
      <c r="T2759" s="1">
        <v>150000</v>
      </c>
      <c r="U2759" s="1">
        <v>50000</v>
      </c>
      <c r="V2759" s="1">
        <v>0</v>
      </c>
      <c r="W2759" s="1">
        <v>50000</v>
      </c>
      <c r="X2759" s="1">
        <v>0</v>
      </c>
      <c r="Y2759" s="1">
        <v>0</v>
      </c>
      <c r="Z2759" s="1">
        <v>0</v>
      </c>
      <c r="AA2759" s="1">
        <v>0</v>
      </c>
      <c r="AB2759" s="1">
        <v>0</v>
      </c>
      <c r="AC2759" s="1">
        <v>0</v>
      </c>
      <c r="AD2759" s="1">
        <v>0</v>
      </c>
    </row>
    <row r="2760" spans="1:30" customFormat="1" x14ac:dyDescent="0.25">
      <c r="C2760" s="37"/>
      <c r="D2760" s="36"/>
      <c r="AD2760" s="40"/>
    </row>
    <row r="2761" spans="1:30" customFormat="1" x14ac:dyDescent="0.25">
      <c r="C2761" s="37"/>
      <c r="D2761" s="36"/>
      <c r="AD2761" s="40"/>
    </row>
    <row r="2762" spans="1:30" customFormat="1" x14ac:dyDescent="0.25">
      <c r="C2762" s="37"/>
      <c r="D2762" s="36"/>
      <c r="AD2762" s="40"/>
    </row>
    <row r="2763" spans="1:30" customFormat="1" x14ac:dyDescent="0.25">
      <c r="C2763" s="37"/>
      <c r="D2763" s="36"/>
      <c r="AD2763" s="40"/>
    </row>
    <row r="2764" spans="1:30" customFormat="1" x14ac:dyDescent="0.25">
      <c r="C2764" s="37"/>
      <c r="D2764" s="36"/>
      <c r="AD2764" s="40"/>
    </row>
    <row r="2765" spans="1:30" customFormat="1" x14ac:dyDescent="0.25">
      <c r="C2765" s="37"/>
      <c r="D2765" s="36"/>
      <c r="AD2765" s="40"/>
    </row>
    <row r="2766" spans="1:30" customFormat="1" x14ac:dyDescent="0.25">
      <c r="C2766" s="37"/>
      <c r="D2766" s="36"/>
      <c r="AD2766" s="40"/>
    </row>
    <row r="2767" spans="1:30" customFormat="1" x14ac:dyDescent="0.25">
      <c r="C2767" s="37"/>
      <c r="D2767" s="36"/>
      <c r="AD2767" s="40"/>
    </row>
    <row r="2768" spans="1:30" customFormat="1" x14ac:dyDescent="0.25">
      <c r="C2768" s="37"/>
      <c r="D2768" s="36"/>
      <c r="AD2768" s="40"/>
    </row>
    <row r="2769" spans="3:30" customFormat="1" x14ac:dyDescent="0.25">
      <c r="C2769" s="37"/>
      <c r="D2769" s="36"/>
      <c r="AD2769" s="40"/>
    </row>
    <row r="2770" spans="3:30" customFormat="1" x14ac:dyDescent="0.25">
      <c r="C2770" s="37"/>
      <c r="D2770" s="36"/>
      <c r="AD2770" s="40"/>
    </row>
    <row r="2771" spans="3:30" customFormat="1" x14ac:dyDescent="0.25">
      <c r="C2771" s="37"/>
      <c r="D2771" s="36"/>
      <c r="AD2771" s="40"/>
    </row>
    <row r="2772" spans="3:30" customFormat="1" x14ac:dyDescent="0.25">
      <c r="C2772" s="37"/>
      <c r="D2772" s="36"/>
      <c r="AD2772" s="40"/>
    </row>
    <row r="2773" spans="3:30" customFormat="1" x14ac:dyDescent="0.25">
      <c r="C2773" s="37"/>
      <c r="D2773" s="36"/>
      <c r="AD2773" s="40"/>
    </row>
    <row r="2774" spans="3:30" customFormat="1" x14ac:dyDescent="0.25">
      <c r="C2774" s="37"/>
      <c r="D2774" s="36"/>
      <c r="AD2774" s="40"/>
    </row>
    <row r="2775" spans="3:30" customFormat="1" x14ac:dyDescent="0.25">
      <c r="C2775" s="37"/>
      <c r="D2775" s="36"/>
      <c r="AD2775" s="40"/>
    </row>
    <row r="2776" spans="3:30" customFormat="1" x14ac:dyDescent="0.25">
      <c r="C2776" s="37"/>
      <c r="D2776" s="36"/>
      <c r="AD2776" s="40"/>
    </row>
    <row r="2777" spans="3:30" customFormat="1" x14ac:dyDescent="0.25">
      <c r="C2777" s="37"/>
      <c r="D2777" s="36"/>
      <c r="AD2777" s="40"/>
    </row>
    <row r="2778" spans="3:30" customFormat="1" x14ac:dyDescent="0.25">
      <c r="C2778" s="37"/>
      <c r="D2778" s="36"/>
      <c r="AD2778" s="40"/>
    </row>
    <row r="2779" spans="3:30" customFormat="1" x14ac:dyDescent="0.25">
      <c r="C2779" s="37"/>
      <c r="D2779" s="36"/>
      <c r="AD2779" s="40"/>
    </row>
    <row r="2780" spans="3:30" customFormat="1" x14ac:dyDescent="0.25">
      <c r="C2780" s="37"/>
      <c r="D2780" s="36"/>
      <c r="AD2780" s="40"/>
    </row>
    <row r="2781" spans="3:30" customFormat="1" x14ac:dyDescent="0.25">
      <c r="C2781" s="37"/>
      <c r="D2781" s="36"/>
      <c r="AD2781" s="40"/>
    </row>
    <row r="2782" spans="3:30" customFormat="1" x14ac:dyDescent="0.25">
      <c r="C2782" s="37"/>
      <c r="D2782" s="36"/>
      <c r="AD2782" s="40"/>
    </row>
    <row r="2783" spans="3:30" customFormat="1" x14ac:dyDescent="0.25">
      <c r="C2783" s="37"/>
      <c r="D2783" s="36"/>
      <c r="AD2783" s="40"/>
    </row>
    <row r="2784" spans="3:30" customFormat="1" x14ac:dyDescent="0.25">
      <c r="C2784" s="37"/>
      <c r="D2784" s="36"/>
      <c r="AD2784" s="40"/>
    </row>
    <row r="2785" spans="3:30" customFormat="1" x14ac:dyDescent="0.25">
      <c r="C2785" s="37"/>
      <c r="D2785" s="36"/>
      <c r="AD2785" s="40"/>
    </row>
    <row r="2786" spans="3:30" customFormat="1" x14ac:dyDescent="0.25">
      <c r="C2786" s="37"/>
      <c r="D2786" s="36"/>
      <c r="AD2786" s="40"/>
    </row>
    <row r="2787" spans="3:30" customFormat="1" x14ac:dyDescent="0.25">
      <c r="C2787" s="37"/>
      <c r="D2787" s="36"/>
      <c r="AD2787" s="40"/>
    </row>
    <row r="2788" spans="3:30" customFormat="1" x14ac:dyDescent="0.25">
      <c r="C2788" s="37"/>
      <c r="D2788" s="36"/>
      <c r="AD2788" s="40"/>
    </row>
    <row r="2789" spans="3:30" customFormat="1" x14ac:dyDescent="0.25">
      <c r="C2789" s="37"/>
      <c r="D2789" s="36"/>
      <c r="AD2789" s="40"/>
    </row>
    <row r="2790" spans="3:30" customFormat="1" x14ac:dyDescent="0.25">
      <c r="C2790" s="37"/>
      <c r="D2790" s="36"/>
      <c r="AD2790" s="40"/>
    </row>
    <row r="2791" spans="3:30" customFormat="1" x14ac:dyDescent="0.25">
      <c r="C2791" s="37"/>
      <c r="D2791" s="36"/>
      <c r="AD2791" s="40"/>
    </row>
    <row r="2792" spans="3:30" customFormat="1" x14ac:dyDescent="0.25">
      <c r="C2792" s="37"/>
      <c r="D2792" s="36"/>
      <c r="AD2792" s="40"/>
    </row>
    <row r="2793" spans="3:30" customFormat="1" x14ac:dyDescent="0.25">
      <c r="C2793" s="37"/>
      <c r="D2793" s="36"/>
      <c r="AD2793" s="40"/>
    </row>
    <row r="2794" spans="3:30" customFormat="1" x14ac:dyDescent="0.25">
      <c r="C2794" s="37"/>
      <c r="D2794" s="36"/>
      <c r="AD2794" s="40"/>
    </row>
    <row r="2795" spans="3:30" customFormat="1" x14ac:dyDescent="0.25">
      <c r="C2795" s="37"/>
      <c r="D2795" s="36"/>
      <c r="AD2795" s="40"/>
    </row>
    <row r="2796" spans="3:30" customFormat="1" x14ac:dyDescent="0.25">
      <c r="C2796" s="37"/>
      <c r="D2796" s="36"/>
      <c r="AD2796" s="40"/>
    </row>
    <row r="2797" spans="3:30" customFormat="1" x14ac:dyDescent="0.25">
      <c r="C2797" s="37"/>
      <c r="D2797" s="36"/>
      <c r="AD2797" s="40"/>
    </row>
    <row r="2798" spans="3:30" customFormat="1" x14ac:dyDescent="0.25">
      <c r="C2798" s="37"/>
      <c r="D2798" s="36"/>
      <c r="AD2798" s="40"/>
    </row>
    <row r="2799" spans="3:30" customFormat="1" x14ac:dyDescent="0.25">
      <c r="C2799" s="37"/>
      <c r="D2799" s="36"/>
      <c r="AD2799" s="40"/>
    </row>
    <row r="2800" spans="3:30" customFormat="1" x14ac:dyDescent="0.25">
      <c r="C2800" s="37"/>
      <c r="D2800" s="36"/>
      <c r="AD2800" s="40"/>
    </row>
    <row r="2801" spans="3:30" customFormat="1" x14ac:dyDescent="0.25">
      <c r="C2801" s="37"/>
      <c r="D2801" s="36"/>
      <c r="AD2801" s="40"/>
    </row>
    <row r="2802" spans="3:30" customFormat="1" x14ac:dyDescent="0.25">
      <c r="C2802" s="37"/>
      <c r="D2802" s="36"/>
      <c r="AD2802" s="40"/>
    </row>
    <row r="2803" spans="3:30" customFormat="1" x14ac:dyDescent="0.25">
      <c r="C2803" s="37"/>
      <c r="D2803" s="36"/>
      <c r="AD2803" s="40"/>
    </row>
    <row r="2804" spans="3:30" customFormat="1" x14ac:dyDescent="0.25">
      <c r="C2804" s="37"/>
      <c r="D2804" s="36"/>
      <c r="AD2804" s="40"/>
    </row>
    <row r="2805" spans="3:30" customFormat="1" x14ac:dyDescent="0.25">
      <c r="C2805" s="37"/>
      <c r="D2805" s="36"/>
      <c r="AD2805" s="40"/>
    </row>
    <row r="2806" spans="3:30" customFormat="1" x14ac:dyDescent="0.25">
      <c r="C2806" s="37"/>
      <c r="D2806" s="36"/>
      <c r="AD2806" s="40"/>
    </row>
    <row r="2807" spans="3:30" customFormat="1" x14ac:dyDescent="0.25">
      <c r="C2807" s="37"/>
      <c r="D2807" s="36"/>
      <c r="AD2807" s="40"/>
    </row>
    <row r="2808" spans="3:30" customFormat="1" x14ac:dyDescent="0.25">
      <c r="C2808" s="37"/>
      <c r="D2808" s="36"/>
      <c r="AD2808" s="40"/>
    </row>
    <row r="2809" spans="3:30" customFormat="1" x14ac:dyDescent="0.25">
      <c r="C2809" s="37"/>
      <c r="D2809" s="36"/>
      <c r="AD2809" s="40"/>
    </row>
    <row r="2810" spans="3:30" customFormat="1" x14ac:dyDescent="0.25">
      <c r="C2810" s="37"/>
      <c r="D2810" s="36"/>
      <c r="AD2810" s="40"/>
    </row>
    <row r="2811" spans="3:30" customFormat="1" x14ac:dyDescent="0.25">
      <c r="C2811" s="37"/>
      <c r="D2811" s="36"/>
      <c r="AD2811" s="40"/>
    </row>
    <row r="2812" spans="3:30" customFormat="1" x14ac:dyDescent="0.25">
      <c r="C2812" s="37"/>
      <c r="D2812" s="36"/>
      <c r="AD2812" s="40"/>
    </row>
    <row r="2813" spans="3:30" customFormat="1" x14ac:dyDescent="0.25">
      <c r="C2813" s="37"/>
      <c r="D2813" s="36"/>
      <c r="AD2813" s="40"/>
    </row>
    <row r="2814" spans="3:30" customFormat="1" x14ac:dyDescent="0.25">
      <c r="C2814" s="37"/>
      <c r="D2814" s="36"/>
      <c r="AD2814" s="40"/>
    </row>
    <row r="2815" spans="3:30" customFormat="1" x14ac:dyDescent="0.25">
      <c r="C2815" s="37"/>
      <c r="D2815" s="36"/>
      <c r="AD2815" s="40"/>
    </row>
    <row r="2816" spans="3:30" customFormat="1" x14ac:dyDescent="0.25">
      <c r="C2816" s="37"/>
      <c r="D2816" s="36"/>
      <c r="AD2816" s="40"/>
    </row>
    <row r="2817" spans="3:30" customFormat="1" x14ac:dyDescent="0.25">
      <c r="C2817" s="37"/>
      <c r="D2817" s="36"/>
      <c r="AD2817" s="40"/>
    </row>
    <row r="2818" spans="3:30" customFormat="1" x14ac:dyDescent="0.25">
      <c r="C2818" s="37"/>
      <c r="D2818" s="36"/>
      <c r="AD2818" s="40"/>
    </row>
    <row r="2819" spans="3:30" customFormat="1" x14ac:dyDescent="0.25">
      <c r="C2819" s="37"/>
      <c r="D2819" s="36"/>
      <c r="AD2819" s="40"/>
    </row>
    <row r="2820" spans="3:30" customFormat="1" x14ac:dyDescent="0.25">
      <c r="C2820" s="37"/>
      <c r="D2820" s="36"/>
      <c r="AD2820" s="40"/>
    </row>
    <row r="2821" spans="3:30" customFormat="1" x14ac:dyDescent="0.25">
      <c r="C2821" s="37"/>
      <c r="D2821" s="36"/>
      <c r="AD2821" s="40"/>
    </row>
    <row r="2822" spans="3:30" customFormat="1" x14ac:dyDescent="0.25">
      <c r="C2822" s="37"/>
      <c r="D2822" s="36"/>
      <c r="AD2822" s="40"/>
    </row>
    <row r="2823" spans="3:30" customFormat="1" x14ac:dyDescent="0.25">
      <c r="C2823" s="37"/>
      <c r="D2823" s="36"/>
      <c r="AD2823" s="40"/>
    </row>
    <row r="2824" spans="3:30" customFormat="1" x14ac:dyDescent="0.25">
      <c r="C2824" s="37"/>
      <c r="D2824" s="36"/>
      <c r="AD2824" s="40"/>
    </row>
    <row r="2825" spans="3:30" customFormat="1" x14ac:dyDescent="0.25">
      <c r="C2825" s="37"/>
      <c r="D2825" s="36"/>
      <c r="AD2825" s="40"/>
    </row>
    <row r="2826" spans="3:30" customFormat="1" x14ac:dyDescent="0.25">
      <c r="C2826" s="37"/>
      <c r="D2826" s="36"/>
      <c r="AD2826" s="40"/>
    </row>
    <row r="2827" spans="3:30" customFormat="1" x14ac:dyDescent="0.25">
      <c r="C2827" s="37"/>
      <c r="D2827" s="36"/>
      <c r="AD2827" s="40"/>
    </row>
    <row r="2828" spans="3:30" customFormat="1" x14ac:dyDescent="0.25">
      <c r="C2828" s="37"/>
      <c r="D2828" s="36"/>
      <c r="AD2828" s="40"/>
    </row>
    <row r="2829" spans="3:30" customFormat="1" x14ac:dyDescent="0.25">
      <c r="C2829" s="37"/>
      <c r="D2829" s="36"/>
      <c r="AD2829" s="40"/>
    </row>
    <row r="2830" spans="3:30" customFormat="1" x14ac:dyDescent="0.25">
      <c r="C2830" s="37"/>
      <c r="D2830" s="36"/>
      <c r="AD2830" s="40"/>
    </row>
    <row r="2831" spans="3:30" customFormat="1" x14ac:dyDescent="0.25">
      <c r="C2831" s="37"/>
      <c r="D2831" s="36"/>
      <c r="AD2831" s="40"/>
    </row>
    <row r="2832" spans="3:30" customFormat="1" x14ac:dyDescent="0.25">
      <c r="C2832" s="37"/>
      <c r="D2832" s="36"/>
      <c r="AD2832" s="40"/>
    </row>
    <row r="2833" spans="3:30" customFormat="1" x14ac:dyDescent="0.25">
      <c r="C2833" s="37"/>
      <c r="D2833" s="36"/>
      <c r="AD2833" s="40"/>
    </row>
    <row r="2834" spans="3:30" customFormat="1" x14ac:dyDescent="0.25">
      <c r="C2834" s="37"/>
      <c r="D2834" s="36"/>
      <c r="AD2834" s="40"/>
    </row>
    <row r="2835" spans="3:30" customFormat="1" x14ac:dyDescent="0.25">
      <c r="C2835" s="37"/>
      <c r="D2835" s="36"/>
      <c r="AD2835" s="40"/>
    </row>
    <row r="2836" spans="3:30" customFormat="1" x14ac:dyDescent="0.25">
      <c r="C2836" s="37"/>
      <c r="D2836" s="36"/>
      <c r="AD2836" s="40"/>
    </row>
    <row r="2837" spans="3:30" customFormat="1" x14ac:dyDescent="0.25">
      <c r="C2837" s="37"/>
      <c r="D2837" s="36"/>
      <c r="AD2837" s="40"/>
    </row>
    <row r="2838" spans="3:30" customFormat="1" x14ac:dyDescent="0.25">
      <c r="C2838" s="37"/>
      <c r="D2838" s="36"/>
      <c r="AD2838" s="40"/>
    </row>
    <row r="2839" spans="3:30" customFormat="1" x14ac:dyDescent="0.25">
      <c r="C2839" s="37"/>
      <c r="D2839" s="36"/>
      <c r="AD2839" s="40"/>
    </row>
    <row r="2840" spans="3:30" customFormat="1" x14ac:dyDescent="0.25">
      <c r="C2840" s="37"/>
      <c r="D2840" s="36"/>
      <c r="AD2840" s="40"/>
    </row>
    <row r="2841" spans="3:30" customFormat="1" x14ac:dyDescent="0.25">
      <c r="C2841" s="37"/>
      <c r="D2841" s="36"/>
      <c r="AD2841" s="40"/>
    </row>
    <row r="2842" spans="3:30" customFormat="1" x14ac:dyDescent="0.25">
      <c r="C2842" s="37"/>
      <c r="D2842" s="36"/>
      <c r="AD2842" s="40"/>
    </row>
    <row r="2843" spans="3:30" customFormat="1" x14ac:dyDescent="0.25">
      <c r="C2843" s="37"/>
      <c r="D2843" s="36"/>
      <c r="AD2843" s="40"/>
    </row>
    <row r="2844" spans="3:30" customFormat="1" x14ac:dyDescent="0.25">
      <c r="C2844" s="37"/>
      <c r="D2844" s="36"/>
      <c r="AD2844" s="40"/>
    </row>
    <row r="2845" spans="3:30" customFormat="1" x14ac:dyDescent="0.25">
      <c r="C2845" s="37"/>
      <c r="D2845" s="36"/>
      <c r="AD2845" s="40"/>
    </row>
    <row r="2846" spans="3:30" customFormat="1" x14ac:dyDescent="0.25">
      <c r="C2846" s="37"/>
      <c r="D2846" s="36"/>
      <c r="AD2846" s="40"/>
    </row>
    <row r="2847" spans="3:30" customFormat="1" x14ac:dyDescent="0.25">
      <c r="C2847" s="37"/>
      <c r="D2847" s="36"/>
      <c r="AD2847" s="40"/>
    </row>
    <row r="2848" spans="3:30" customFormat="1" x14ac:dyDescent="0.25">
      <c r="C2848" s="37"/>
      <c r="D2848" s="36"/>
      <c r="AD2848" s="40"/>
    </row>
    <row r="2849" spans="3:30" customFormat="1" x14ac:dyDescent="0.25">
      <c r="C2849" s="37"/>
      <c r="D2849" s="36"/>
      <c r="AD2849" s="40"/>
    </row>
    <row r="2850" spans="3:30" customFormat="1" x14ac:dyDescent="0.25">
      <c r="C2850" s="37"/>
      <c r="D2850" s="36"/>
      <c r="AD2850" s="40"/>
    </row>
    <row r="2851" spans="3:30" customFormat="1" x14ac:dyDescent="0.25">
      <c r="C2851" s="37"/>
      <c r="D2851" s="36"/>
      <c r="AD2851" s="40"/>
    </row>
    <row r="2852" spans="3:30" customFormat="1" x14ac:dyDescent="0.25">
      <c r="C2852" s="37"/>
      <c r="D2852" s="36"/>
      <c r="AD2852" s="40"/>
    </row>
    <row r="2853" spans="3:30" customFormat="1" x14ac:dyDescent="0.25">
      <c r="C2853" s="37"/>
      <c r="D2853" s="36"/>
      <c r="AD2853" s="40"/>
    </row>
    <row r="2854" spans="3:30" customFormat="1" x14ac:dyDescent="0.25">
      <c r="C2854" s="37"/>
      <c r="D2854" s="36"/>
      <c r="AD2854" s="40"/>
    </row>
    <row r="2855" spans="3:30" customFormat="1" x14ac:dyDescent="0.25">
      <c r="C2855" s="37"/>
      <c r="D2855" s="36"/>
      <c r="AD2855" s="40"/>
    </row>
    <row r="2856" spans="3:30" customFormat="1" x14ac:dyDescent="0.25">
      <c r="C2856" s="37"/>
      <c r="D2856" s="36"/>
      <c r="AD2856" s="40"/>
    </row>
    <row r="2857" spans="3:30" customFormat="1" x14ac:dyDescent="0.25">
      <c r="C2857" s="37"/>
      <c r="D2857" s="36"/>
      <c r="AD2857" s="40"/>
    </row>
    <row r="2858" spans="3:30" customFormat="1" x14ac:dyDescent="0.25">
      <c r="C2858" s="37"/>
      <c r="D2858" s="36"/>
      <c r="AD2858" s="40"/>
    </row>
    <row r="2859" spans="3:30" customFormat="1" x14ac:dyDescent="0.25">
      <c r="C2859" s="37"/>
      <c r="D2859" s="36"/>
      <c r="AD2859" s="40"/>
    </row>
    <row r="2860" spans="3:30" customFormat="1" x14ac:dyDescent="0.25">
      <c r="C2860" s="37"/>
      <c r="D2860" s="36"/>
      <c r="AD2860" s="40"/>
    </row>
    <row r="2861" spans="3:30" customFormat="1" x14ac:dyDescent="0.25">
      <c r="C2861" s="37"/>
      <c r="D2861" s="36"/>
      <c r="AD2861" s="40"/>
    </row>
    <row r="2862" spans="3:30" customFormat="1" x14ac:dyDescent="0.25">
      <c r="C2862" s="37"/>
      <c r="D2862" s="36"/>
      <c r="AD2862" s="40"/>
    </row>
    <row r="2863" spans="3:30" customFormat="1" x14ac:dyDescent="0.25">
      <c r="C2863" s="37"/>
      <c r="D2863" s="36"/>
      <c r="AD2863" s="40"/>
    </row>
    <row r="2864" spans="3:30" customFormat="1" x14ac:dyDescent="0.25">
      <c r="C2864" s="37"/>
      <c r="D2864" s="36"/>
      <c r="AD2864" s="40"/>
    </row>
    <row r="2865" spans="3:30" customFormat="1" x14ac:dyDescent="0.25">
      <c r="C2865" s="37"/>
      <c r="D2865" s="36"/>
      <c r="AD2865" s="40"/>
    </row>
    <row r="2866" spans="3:30" customFormat="1" x14ac:dyDescent="0.25">
      <c r="C2866" s="37"/>
      <c r="D2866" s="36"/>
      <c r="AD2866" s="40"/>
    </row>
    <row r="2867" spans="3:30" customFormat="1" x14ac:dyDescent="0.25">
      <c r="C2867" s="37"/>
      <c r="D2867" s="36"/>
      <c r="AD2867" s="40"/>
    </row>
    <row r="2868" spans="3:30" customFormat="1" x14ac:dyDescent="0.25">
      <c r="C2868" s="37"/>
      <c r="D2868" s="36"/>
      <c r="AD2868" s="40"/>
    </row>
    <row r="2869" spans="3:30" customFormat="1" x14ac:dyDescent="0.25">
      <c r="C2869" s="37"/>
      <c r="D2869" s="36"/>
      <c r="AD2869" s="40"/>
    </row>
    <row r="2870" spans="3:30" customFormat="1" x14ac:dyDescent="0.25">
      <c r="C2870" s="37"/>
      <c r="D2870" s="36"/>
      <c r="AD2870" s="40"/>
    </row>
    <row r="2871" spans="3:30" customFormat="1" x14ac:dyDescent="0.25">
      <c r="C2871" s="37"/>
      <c r="D2871" s="36"/>
      <c r="AD2871" s="40"/>
    </row>
    <row r="2872" spans="3:30" customFormat="1" x14ac:dyDescent="0.25">
      <c r="C2872" s="37"/>
      <c r="D2872" s="36"/>
      <c r="AD2872" s="40"/>
    </row>
    <row r="2873" spans="3:30" customFormat="1" x14ac:dyDescent="0.25">
      <c r="C2873" s="37"/>
      <c r="D2873" s="36"/>
      <c r="AD2873" s="40"/>
    </row>
    <row r="2874" spans="3:30" customFormat="1" x14ac:dyDescent="0.25">
      <c r="C2874" s="37"/>
      <c r="D2874" s="36"/>
      <c r="AD2874" s="40"/>
    </row>
    <row r="2875" spans="3:30" customFormat="1" x14ac:dyDescent="0.25">
      <c r="C2875" s="37"/>
      <c r="D2875" s="36"/>
      <c r="AD2875" s="40"/>
    </row>
    <row r="2876" spans="3:30" customFormat="1" x14ac:dyDescent="0.25">
      <c r="C2876" s="37"/>
      <c r="D2876" s="36"/>
      <c r="AD2876" s="40"/>
    </row>
    <row r="2877" spans="3:30" customFormat="1" x14ac:dyDescent="0.25">
      <c r="C2877" s="37"/>
      <c r="D2877" s="36"/>
      <c r="AD2877" s="40"/>
    </row>
    <row r="2878" spans="3:30" customFormat="1" x14ac:dyDescent="0.25">
      <c r="C2878" s="37"/>
      <c r="D2878" s="36"/>
      <c r="AD2878" s="40"/>
    </row>
    <row r="2879" spans="3:30" customFormat="1" x14ac:dyDescent="0.25">
      <c r="C2879" s="37"/>
      <c r="D2879" s="36"/>
      <c r="AD2879" s="40"/>
    </row>
    <row r="2880" spans="3:30" customFormat="1" x14ac:dyDescent="0.25">
      <c r="C2880" s="37"/>
      <c r="D2880" s="36"/>
      <c r="AD2880" s="40"/>
    </row>
    <row r="2881" spans="3:30" customFormat="1" x14ac:dyDescent="0.25">
      <c r="C2881" s="37"/>
      <c r="D2881" s="36"/>
      <c r="AD2881" s="40"/>
    </row>
    <row r="2882" spans="3:30" customFormat="1" x14ac:dyDescent="0.25">
      <c r="C2882" s="37"/>
      <c r="D2882" s="36"/>
      <c r="AD2882" s="40"/>
    </row>
    <row r="2883" spans="3:30" customFormat="1" x14ac:dyDescent="0.25">
      <c r="C2883" s="37"/>
      <c r="D2883" s="36"/>
      <c r="AD2883" s="40"/>
    </row>
    <row r="2884" spans="3:30" customFormat="1" x14ac:dyDescent="0.25">
      <c r="C2884" s="37"/>
      <c r="D2884" s="36"/>
      <c r="AD2884" s="40"/>
    </row>
    <row r="2885" spans="3:30" customFormat="1" x14ac:dyDescent="0.25">
      <c r="C2885" s="37"/>
      <c r="D2885" s="36"/>
      <c r="AD2885" s="40"/>
    </row>
    <row r="2886" spans="3:30" customFormat="1" x14ac:dyDescent="0.25">
      <c r="C2886" s="37"/>
      <c r="D2886" s="36"/>
      <c r="AD2886" s="40"/>
    </row>
    <row r="2887" spans="3:30" customFormat="1" x14ac:dyDescent="0.25">
      <c r="C2887" s="37"/>
      <c r="D2887" s="36"/>
      <c r="AD2887" s="40"/>
    </row>
    <row r="2888" spans="3:30" customFormat="1" x14ac:dyDescent="0.25">
      <c r="C2888" s="37"/>
      <c r="D2888" s="36"/>
      <c r="AD2888" s="40"/>
    </row>
    <row r="2889" spans="3:30" customFormat="1" x14ac:dyDescent="0.25">
      <c r="C2889" s="37"/>
      <c r="D2889" s="36"/>
      <c r="AD2889" s="40"/>
    </row>
    <row r="2890" spans="3:30" customFormat="1" x14ac:dyDescent="0.25">
      <c r="C2890" s="37"/>
      <c r="D2890" s="36"/>
      <c r="AD2890" s="40"/>
    </row>
    <row r="2891" spans="3:30" customFormat="1" x14ac:dyDescent="0.25">
      <c r="C2891" s="37"/>
      <c r="D2891" s="36"/>
      <c r="AD2891" s="40"/>
    </row>
    <row r="2892" spans="3:30" customFormat="1" x14ac:dyDescent="0.25">
      <c r="C2892" s="37"/>
      <c r="D2892" s="36"/>
      <c r="AD2892" s="40"/>
    </row>
    <row r="2893" spans="3:30" customFormat="1" x14ac:dyDescent="0.25">
      <c r="C2893" s="37"/>
      <c r="D2893" s="36"/>
      <c r="AD2893" s="40"/>
    </row>
    <row r="2894" spans="3:30" customFormat="1" x14ac:dyDescent="0.25">
      <c r="C2894" s="37"/>
      <c r="D2894" s="36"/>
      <c r="AD2894" s="40"/>
    </row>
    <row r="2895" spans="3:30" customFormat="1" x14ac:dyDescent="0.25">
      <c r="C2895" s="37"/>
      <c r="D2895" s="36"/>
      <c r="AD2895" s="40"/>
    </row>
    <row r="2896" spans="3:30" customFormat="1" x14ac:dyDescent="0.25">
      <c r="C2896" s="37"/>
      <c r="D2896" s="36"/>
      <c r="AD2896" s="40"/>
    </row>
    <row r="2897" spans="3:30" customFormat="1" x14ac:dyDescent="0.25">
      <c r="C2897" s="37"/>
      <c r="D2897" s="36"/>
      <c r="AD2897" s="40"/>
    </row>
    <row r="2898" spans="3:30" customFormat="1" x14ac:dyDescent="0.25">
      <c r="C2898" s="37"/>
      <c r="D2898" s="36"/>
      <c r="AD2898" s="40"/>
    </row>
    <row r="2899" spans="3:30" customFormat="1" x14ac:dyDescent="0.25">
      <c r="C2899" s="37"/>
      <c r="D2899" s="36"/>
      <c r="AD2899" s="40"/>
    </row>
    <row r="2900" spans="3:30" customFormat="1" x14ac:dyDescent="0.25">
      <c r="C2900" s="37"/>
      <c r="D2900" s="36"/>
      <c r="AD2900" s="40"/>
    </row>
    <row r="2901" spans="3:30" customFormat="1" x14ac:dyDescent="0.25">
      <c r="C2901" s="37"/>
      <c r="D2901" s="36"/>
      <c r="AD2901" s="40"/>
    </row>
    <row r="2902" spans="3:30" customFormat="1" x14ac:dyDescent="0.25">
      <c r="C2902" s="37"/>
      <c r="D2902" s="36"/>
      <c r="AD2902" s="40"/>
    </row>
    <row r="2903" spans="3:30" customFormat="1" x14ac:dyDescent="0.25">
      <c r="C2903" s="37"/>
      <c r="D2903" s="36"/>
      <c r="AD2903" s="40"/>
    </row>
    <row r="2904" spans="3:30" customFormat="1" x14ac:dyDescent="0.25">
      <c r="C2904" s="37"/>
      <c r="D2904" s="36"/>
      <c r="AD2904" s="40"/>
    </row>
    <row r="2905" spans="3:30" customFormat="1" x14ac:dyDescent="0.25">
      <c r="C2905" s="37"/>
      <c r="D2905" s="36"/>
      <c r="AD2905" s="40"/>
    </row>
    <row r="2906" spans="3:30" customFormat="1" x14ac:dyDescent="0.25">
      <c r="C2906" s="37"/>
      <c r="D2906" s="36"/>
      <c r="AD2906" s="40"/>
    </row>
    <row r="2907" spans="3:30" customFormat="1" x14ac:dyDescent="0.25">
      <c r="C2907" s="37"/>
      <c r="D2907" s="36"/>
      <c r="AD2907" s="40"/>
    </row>
    <row r="2908" spans="3:30" customFormat="1" x14ac:dyDescent="0.25">
      <c r="C2908" s="37"/>
      <c r="D2908" s="36"/>
      <c r="AD2908" s="40"/>
    </row>
    <row r="2909" spans="3:30" customFormat="1" x14ac:dyDescent="0.25">
      <c r="C2909" s="37"/>
      <c r="D2909" s="36"/>
      <c r="AD2909" s="40"/>
    </row>
    <row r="2910" spans="3:30" customFormat="1" x14ac:dyDescent="0.25">
      <c r="C2910" s="37"/>
      <c r="D2910" s="36"/>
      <c r="AD2910" s="40"/>
    </row>
    <row r="2911" spans="3:30" customFormat="1" x14ac:dyDescent="0.25">
      <c r="C2911" s="37"/>
      <c r="D2911" s="36"/>
      <c r="AD2911" s="40"/>
    </row>
    <row r="2912" spans="3:30" customFormat="1" x14ac:dyDescent="0.25">
      <c r="C2912" s="37"/>
      <c r="D2912" s="36"/>
      <c r="AD2912" s="40"/>
    </row>
    <row r="2913" spans="3:30" customFormat="1" x14ac:dyDescent="0.25">
      <c r="C2913" s="37"/>
      <c r="D2913" s="36"/>
      <c r="AD2913" s="40"/>
    </row>
    <row r="2914" spans="3:30" customFormat="1" x14ac:dyDescent="0.25">
      <c r="C2914" s="37"/>
      <c r="D2914" s="36"/>
      <c r="AD2914" s="40"/>
    </row>
    <row r="2915" spans="3:30" customFormat="1" x14ac:dyDescent="0.25">
      <c r="C2915" s="37"/>
      <c r="D2915" s="36"/>
      <c r="AD2915" s="40"/>
    </row>
    <row r="2916" spans="3:30" customFormat="1" x14ac:dyDescent="0.25">
      <c r="C2916" s="37"/>
      <c r="D2916" s="36"/>
      <c r="AD2916" s="40"/>
    </row>
    <row r="2917" spans="3:30" customFormat="1" x14ac:dyDescent="0.25">
      <c r="C2917" s="37"/>
      <c r="D2917" s="36"/>
      <c r="AD2917" s="40"/>
    </row>
    <row r="2918" spans="3:30" customFormat="1" x14ac:dyDescent="0.25">
      <c r="C2918" s="37"/>
      <c r="D2918" s="36"/>
      <c r="AD2918" s="40"/>
    </row>
    <row r="2919" spans="3:30" customFormat="1" x14ac:dyDescent="0.25">
      <c r="C2919" s="37"/>
      <c r="D2919" s="36"/>
      <c r="AD2919" s="40"/>
    </row>
    <row r="2920" spans="3:30" customFormat="1" x14ac:dyDescent="0.25">
      <c r="C2920" s="37"/>
      <c r="D2920" s="36"/>
      <c r="AD2920" s="40"/>
    </row>
    <row r="2921" spans="3:30" customFormat="1" x14ac:dyDescent="0.25">
      <c r="C2921" s="37"/>
      <c r="D2921" s="36"/>
      <c r="AD2921" s="40"/>
    </row>
    <row r="2922" spans="3:30" customFormat="1" x14ac:dyDescent="0.25">
      <c r="C2922" s="37"/>
      <c r="D2922" s="36"/>
      <c r="AD2922" s="40"/>
    </row>
    <row r="2923" spans="3:30" customFormat="1" x14ac:dyDescent="0.25">
      <c r="C2923" s="37"/>
      <c r="D2923" s="36"/>
      <c r="AD2923" s="40"/>
    </row>
    <row r="2924" spans="3:30" customFormat="1" x14ac:dyDescent="0.25">
      <c r="C2924" s="37"/>
      <c r="D2924" s="36"/>
      <c r="AD2924" s="40"/>
    </row>
    <row r="2925" spans="3:30" customFormat="1" x14ac:dyDescent="0.25">
      <c r="C2925" s="37"/>
      <c r="D2925" s="36"/>
      <c r="AD2925" s="40"/>
    </row>
    <row r="2926" spans="3:30" customFormat="1" x14ac:dyDescent="0.25">
      <c r="C2926" s="37"/>
      <c r="D2926" s="36"/>
      <c r="AD2926" s="40"/>
    </row>
    <row r="2927" spans="3:30" customFormat="1" x14ac:dyDescent="0.25">
      <c r="C2927" s="37"/>
      <c r="D2927" s="36"/>
      <c r="AD2927" s="40"/>
    </row>
    <row r="2928" spans="3:30" customFormat="1" x14ac:dyDescent="0.25">
      <c r="C2928" s="37"/>
      <c r="D2928" s="36"/>
      <c r="AD2928" s="40"/>
    </row>
    <row r="2929" spans="3:30" customFormat="1" x14ac:dyDescent="0.25">
      <c r="C2929" s="37"/>
      <c r="D2929" s="36"/>
      <c r="AD2929" s="40"/>
    </row>
    <row r="2930" spans="3:30" customFormat="1" x14ac:dyDescent="0.25">
      <c r="C2930" s="37"/>
      <c r="D2930" s="36"/>
      <c r="AD2930" s="40"/>
    </row>
    <row r="2931" spans="3:30" customFormat="1" x14ac:dyDescent="0.25">
      <c r="C2931" s="37"/>
      <c r="D2931" s="36"/>
      <c r="AD2931" s="40"/>
    </row>
    <row r="2932" spans="3:30" customFormat="1" x14ac:dyDescent="0.25">
      <c r="C2932" s="37"/>
      <c r="D2932" s="36"/>
      <c r="AD2932" s="40"/>
    </row>
    <row r="2933" spans="3:30" customFormat="1" x14ac:dyDescent="0.25">
      <c r="C2933" s="37"/>
      <c r="D2933" s="36"/>
      <c r="AD2933" s="40"/>
    </row>
    <row r="2934" spans="3:30" customFormat="1" x14ac:dyDescent="0.25">
      <c r="C2934" s="37"/>
      <c r="D2934" s="36"/>
      <c r="AD2934" s="40"/>
    </row>
    <row r="2935" spans="3:30" customFormat="1" x14ac:dyDescent="0.25">
      <c r="C2935" s="37"/>
      <c r="D2935" s="36"/>
      <c r="AD2935" s="40"/>
    </row>
    <row r="2936" spans="3:30" customFormat="1" x14ac:dyDescent="0.25">
      <c r="C2936" s="37"/>
      <c r="D2936" s="36"/>
      <c r="AD2936" s="40"/>
    </row>
    <row r="2937" spans="3:30" customFormat="1" x14ac:dyDescent="0.25">
      <c r="C2937" s="37"/>
      <c r="D2937" s="36"/>
      <c r="AD2937" s="40"/>
    </row>
    <row r="2938" spans="3:30" customFormat="1" x14ac:dyDescent="0.25">
      <c r="C2938" s="37"/>
      <c r="D2938" s="36"/>
      <c r="AD2938" s="40"/>
    </row>
    <row r="2939" spans="3:30" customFormat="1" x14ac:dyDescent="0.25">
      <c r="C2939" s="37"/>
      <c r="D2939" s="36"/>
      <c r="AD2939" s="40"/>
    </row>
    <row r="2940" spans="3:30" customFormat="1" x14ac:dyDescent="0.25">
      <c r="C2940" s="37"/>
      <c r="D2940" s="36"/>
      <c r="AD2940" s="40"/>
    </row>
    <row r="2941" spans="3:30" customFormat="1" x14ac:dyDescent="0.25">
      <c r="C2941" s="37"/>
      <c r="D2941" s="36"/>
      <c r="AD2941" s="40"/>
    </row>
    <row r="2942" spans="3:30" customFormat="1" x14ac:dyDescent="0.25">
      <c r="C2942" s="37"/>
      <c r="D2942" s="36"/>
      <c r="AD2942" s="40"/>
    </row>
    <row r="2943" spans="3:30" customFormat="1" x14ac:dyDescent="0.25">
      <c r="C2943" s="37"/>
      <c r="D2943" s="36"/>
      <c r="AD2943" s="40"/>
    </row>
    <row r="2944" spans="3:30" customFormat="1" x14ac:dyDescent="0.25">
      <c r="C2944" s="37"/>
      <c r="D2944" s="36"/>
      <c r="AD2944" s="40"/>
    </row>
    <row r="2945" spans="3:30" customFormat="1" x14ac:dyDescent="0.25">
      <c r="C2945" s="37"/>
      <c r="D2945" s="36"/>
      <c r="AD2945" s="40"/>
    </row>
    <row r="2946" spans="3:30" customFormat="1" x14ac:dyDescent="0.25">
      <c r="C2946" s="37"/>
      <c r="D2946" s="36"/>
      <c r="AD2946" s="40"/>
    </row>
    <row r="2947" spans="3:30" customFormat="1" x14ac:dyDescent="0.25">
      <c r="C2947" s="37"/>
      <c r="D2947" s="36"/>
      <c r="AD2947" s="40"/>
    </row>
    <row r="2948" spans="3:30" customFormat="1" x14ac:dyDescent="0.25">
      <c r="C2948" s="37"/>
      <c r="D2948" s="36"/>
      <c r="AD2948" s="40"/>
    </row>
    <row r="2949" spans="3:30" customFormat="1" x14ac:dyDescent="0.25">
      <c r="C2949" s="37"/>
      <c r="D2949" s="36"/>
      <c r="AD2949" s="40"/>
    </row>
    <row r="2950" spans="3:30" customFormat="1" x14ac:dyDescent="0.25">
      <c r="C2950" s="37"/>
      <c r="D2950" s="36"/>
      <c r="AD2950" s="40"/>
    </row>
    <row r="2951" spans="3:30" customFormat="1" x14ac:dyDescent="0.25">
      <c r="C2951" s="37"/>
      <c r="D2951" s="36"/>
      <c r="AD2951" s="40"/>
    </row>
    <row r="2952" spans="3:30" customFormat="1" x14ac:dyDescent="0.25">
      <c r="C2952" s="37"/>
      <c r="D2952" s="36"/>
      <c r="AD2952" s="40"/>
    </row>
    <row r="2953" spans="3:30" customFormat="1" x14ac:dyDescent="0.25">
      <c r="C2953" s="37"/>
      <c r="D2953" s="36"/>
      <c r="AD2953" s="40"/>
    </row>
    <row r="2954" spans="3:30" customFormat="1" x14ac:dyDescent="0.25">
      <c r="C2954" s="37"/>
      <c r="D2954" s="36"/>
      <c r="AD2954" s="40"/>
    </row>
    <row r="2955" spans="3:30" customFormat="1" x14ac:dyDescent="0.25">
      <c r="C2955" s="37"/>
      <c r="D2955" s="36"/>
      <c r="AD2955" s="40"/>
    </row>
    <row r="2956" spans="3:30" customFormat="1" x14ac:dyDescent="0.25">
      <c r="C2956" s="37"/>
      <c r="D2956" s="36"/>
      <c r="AD2956" s="40"/>
    </row>
    <row r="2957" spans="3:30" customFormat="1" x14ac:dyDescent="0.25">
      <c r="C2957" s="37"/>
      <c r="D2957" s="36"/>
      <c r="AD2957" s="40"/>
    </row>
    <row r="2958" spans="3:30" customFormat="1" x14ac:dyDescent="0.25">
      <c r="C2958" s="37"/>
      <c r="D2958" s="36"/>
      <c r="AD2958" s="40"/>
    </row>
    <row r="2959" spans="3:30" customFormat="1" x14ac:dyDescent="0.25">
      <c r="C2959" s="37"/>
      <c r="D2959" s="36"/>
      <c r="AD2959" s="40"/>
    </row>
    <row r="2960" spans="3:30" customFormat="1" x14ac:dyDescent="0.25">
      <c r="C2960" s="37"/>
      <c r="D2960" s="36"/>
      <c r="AD2960" s="40"/>
    </row>
    <row r="2961" spans="3:30" customFormat="1" x14ac:dyDescent="0.25">
      <c r="C2961" s="37"/>
      <c r="D2961" s="36"/>
      <c r="AD2961" s="40"/>
    </row>
    <row r="2962" spans="3:30" customFormat="1" x14ac:dyDescent="0.25">
      <c r="C2962" s="37"/>
      <c r="D2962" s="36"/>
      <c r="AD2962" s="40"/>
    </row>
    <row r="2963" spans="3:30" customFormat="1" x14ac:dyDescent="0.25">
      <c r="C2963" s="37"/>
      <c r="D2963" s="36"/>
      <c r="AD2963" s="40"/>
    </row>
    <row r="2964" spans="3:30" customFormat="1" x14ac:dyDescent="0.25">
      <c r="C2964" s="37"/>
      <c r="D2964" s="36"/>
      <c r="AD2964" s="40"/>
    </row>
    <row r="2965" spans="3:30" customFormat="1" x14ac:dyDescent="0.25">
      <c r="C2965" s="37"/>
      <c r="D2965" s="36"/>
      <c r="AD2965" s="40"/>
    </row>
    <row r="2966" spans="3:30" customFormat="1" x14ac:dyDescent="0.25">
      <c r="C2966" s="37"/>
      <c r="D2966" s="36"/>
      <c r="AD2966" s="40"/>
    </row>
    <row r="2967" spans="3:30" customFormat="1" x14ac:dyDescent="0.25">
      <c r="C2967" s="37"/>
      <c r="D2967" s="36"/>
      <c r="AD2967" s="40"/>
    </row>
    <row r="2968" spans="3:30" customFormat="1" x14ac:dyDescent="0.25">
      <c r="C2968" s="37"/>
      <c r="D2968" s="36"/>
      <c r="AD2968" s="40"/>
    </row>
    <row r="2969" spans="3:30" customFormat="1" x14ac:dyDescent="0.25">
      <c r="C2969" s="37"/>
      <c r="D2969" s="36"/>
      <c r="AD2969" s="40"/>
    </row>
    <row r="2970" spans="3:30" customFormat="1" x14ac:dyDescent="0.25">
      <c r="C2970" s="37"/>
      <c r="D2970" s="36"/>
      <c r="AD2970" s="40"/>
    </row>
    <row r="2971" spans="3:30" customFormat="1" x14ac:dyDescent="0.25">
      <c r="C2971" s="37"/>
      <c r="D2971" s="36"/>
      <c r="AD2971" s="40"/>
    </row>
    <row r="2972" spans="3:30" customFormat="1" x14ac:dyDescent="0.25">
      <c r="C2972" s="37"/>
      <c r="D2972" s="36"/>
      <c r="AD2972" s="40"/>
    </row>
    <row r="2973" spans="3:30" customFormat="1" x14ac:dyDescent="0.25">
      <c r="C2973" s="37"/>
      <c r="D2973" s="36"/>
      <c r="AD2973" s="40"/>
    </row>
    <row r="2974" spans="3:30" customFormat="1" x14ac:dyDescent="0.25">
      <c r="C2974" s="37"/>
      <c r="D2974" s="36"/>
      <c r="AD2974" s="40"/>
    </row>
    <row r="2975" spans="3:30" customFormat="1" x14ac:dyDescent="0.25">
      <c r="C2975" s="37"/>
      <c r="D2975" s="36"/>
      <c r="AD2975" s="40"/>
    </row>
    <row r="2976" spans="3:30" customFormat="1" x14ac:dyDescent="0.25">
      <c r="C2976" s="37"/>
      <c r="D2976" s="36"/>
      <c r="AD2976" s="40"/>
    </row>
    <row r="2977" spans="3:30" customFormat="1" x14ac:dyDescent="0.25">
      <c r="C2977" s="37"/>
      <c r="D2977" s="36"/>
      <c r="AD2977" s="40"/>
    </row>
    <row r="2978" spans="3:30" customFormat="1" x14ac:dyDescent="0.25">
      <c r="C2978" s="37"/>
      <c r="D2978" s="36"/>
      <c r="AD2978" s="40"/>
    </row>
    <row r="2979" spans="3:30" customFormat="1" x14ac:dyDescent="0.25">
      <c r="C2979" s="37"/>
      <c r="D2979" s="36"/>
      <c r="AD2979" s="40"/>
    </row>
    <row r="2980" spans="3:30" customFormat="1" x14ac:dyDescent="0.25">
      <c r="C2980" s="37"/>
      <c r="D2980" s="36"/>
      <c r="AD2980" s="40"/>
    </row>
    <row r="2981" spans="3:30" customFormat="1" x14ac:dyDescent="0.25">
      <c r="C2981" s="37"/>
      <c r="D2981" s="36"/>
      <c r="AD2981" s="40"/>
    </row>
    <row r="2982" spans="3:30" customFormat="1" x14ac:dyDescent="0.25">
      <c r="C2982" s="37"/>
      <c r="D2982" s="36"/>
      <c r="AD2982" s="40"/>
    </row>
    <row r="2983" spans="3:30" customFormat="1" x14ac:dyDescent="0.25">
      <c r="C2983" s="37"/>
      <c r="D2983" s="36"/>
      <c r="AD2983" s="40"/>
    </row>
    <row r="2984" spans="3:30" customFormat="1" x14ac:dyDescent="0.25">
      <c r="C2984" s="37"/>
      <c r="D2984" s="36"/>
      <c r="AD2984" s="40"/>
    </row>
    <row r="2985" spans="3:30" customFormat="1" x14ac:dyDescent="0.25">
      <c r="C2985" s="37"/>
      <c r="D2985" s="36"/>
      <c r="AD2985" s="40"/>
    </row>
    <row r="2986" spans="3:30" customFormat="1" x14ac:dyDescent="0.25">
      <c r="C2986" s="37"/>
      <c r="D2986" s="36"/>
      <c r="AD2986" s="40"/>
    </row>
    <row r="2987" spans="3:30" customFormat="1" x14ac:dyDescent="0.25">
      <c r="C2987" s="37"/>
      <c r="D2987" s="36"/>
      <c r="AD2987" s="40"/>
    </row>
    <row r="2988" spans="3:30" customFormat="1" x14ac:dyDescent="0.25">
      <c r="C2988" s="37"/>
      <c r="D2988" s="36"/>
      <c r="AD2988" s="40"/>
    </row>
    <row r="2989" spans="3:30" customFormat="1" x14ac:dyDescent="0.25">
      <c r="C2989" s="37"/>
      <c r="D2989" s="36"/>
      <c r="AD2989" s="40"/>
    </row>
    <row r="2990" spans="3:30" customFormat="1" x14ac:dyDescent="0.25">
      <c r="C2990" s="37"/>
      <c r="D2990" s="36"/>
      <c r="AD2990" s="40"/>
    </row>
    <row r="2991" spans="3:30" customFormat="1" x14ac:dyDescent="0.25">
      <c r="C2991" s="37"/>
      <c r="D2991" s="36"/>
      <c r="AD2991" s="40"/>
    </row>
    <row r="2992" spans="3:30" customFormat="1" x14ac:dyDescent="0.25">
      <c r="C2992" s="37"/>
      <c r="D2992" s="36"/>
      <c r="AD2992" s="40"/>
    </row>
    <row r="2993" spans="3:30" customFormat="1" x14ac:dyDescent="0.25">
      <c r="C2993" s="37"/>
      <c r="D2993" s="36"/>
      <c r="AD2993" s="40"/>
    </row>
    <row r="2994" spans="3:30" customFormat="1" x14ac:dyDescent="0.25">
      <c r="C2994" s="37"/>
      <c r="D2994" s="36"/>
      <c r="AD2994" s="40"/>
    </row>
    <row r="2995" spans="3:30" customFormat="1" x14ac:dyDescent="0.25">
      <c r="C2995" s="37"/>
      <c r="D2995" s="36"/>
      <c r="AD2995" s="40"/>
    </row>
    <row r="2996" spans="3:30" customFormat="1" x14ac:dyDescent="0.25">
      <c r="C2996" s="37"/>
      <c r="D2996" s="36"/>
      <c r="AD2996" s="40"/>
    </row>
    <row r="2997" spans="3:30" customFormat="1" x14ac:dyDescent="0.25">
      <c r="C2997" s="37"/>
      <c r="D2997" s="36"/>
      <c r="AD2997" s="40"/>
    </row>
    <row r="2998" spans="3:30" customFormat="1" x14ac:dyDescent="0.25">
      <c r="C2998" s="37"/>
      <c r="D2998" s="36"/>
      <c r="AD2998" s="40"/>
    </row>
    <row r="2999" spans="3:30" customFormat="1" x14ac:dyDescent="0.25">
      <c r="C2999" s="37"/>
      <c r="D2999" s="36"/>
      <c r="AD2999" s="40"/>
    </row>
    <row r="3000" spans="3:30" customFormat="1" x14ac:dyDescent="0.25">
      <c r="C3000" s="37"/>
      <c r="D3000" s="36"/>
      <c r="AD3000" s="40"/>
    </row>
    <row r="3001" spans="3:30" customFormat="1" x14ac:dyDescent="0.25">
      <c r="C3001" s="37"/>
      <c r="D3001" s="36"/>
      <c r="AD3001" s="40"/>
    </row>
    <row r="3002" spans="3:30" customFormat="1" x14ac:dyDescent="0.25">
      <c r="C3002" s="37"/>
      <c r="D3002" s="36"/>
      <c r="AD3002" s="40"/>
    </row>
    <row r="3003" spans="3:30" customFormat="1" x14ac:dyDescent="0.25">
      <c r="C3003" s="37"/>
      <c r="D3003" s="36"/>
      <c r="AD3003" s="40"/>
    </row>
    <row r="3004" spans="3:30" customFormat="1" x14ac:dyDescent="0.25">
      <c r="C3004" s="37"/>
      <c r="D3004" s="36"/>
      <c r="AD3004" s="40"/>
    </row>
    <row r="3005" spans="3:30" customFormat="1" x14ac:dyDescent="0.25">
      <c r="C3005" s="37"/>
      <c r="D3005" s="36"/>
      <c r="AD3005" s="40"/>
    </row>
    <row r="3006" spans="3:30" customFormat="1" x14ac:dyDescent="0.25">
      <c r="C3006" s="37"/>
      <c r="D3006" s="36"/>
      <c r="AD3006" s="40"/>
    </row>
    <row r="3007" spans="3:30" customFormat="1" x14ac:dyDescent="0.25">
      <c r="C3007" s="37"/>
      <c r="D3007" s="36"/>
      <c r="AD3007" s="40"/>
    </row>
    <row r="3008" spans="3:30" customFormat="1" x14ac:dyDescent="0.25">
      <c r="C3008" s="37"/>
      <c r="D3008" s="36"/>
      <c r="AD3008" s="40"/>
    </row>
  </sheetData>
  <mergeCells count="107">
    <mergeCell ref="U3:AD3"/>
    <mergeCell ref="B2687:C2687"/>
    <mergeCell ref="B1185:AD1185"/>
    <mergeCell ref="B1889:AD1889"/>
    <mergeCell ref="B2713:C2713"/>
    <mergeCell ref="B2708:C2708"/>
    <mergeCell ref="B2704:C2704"/>
    <mergeCell ref="B2699:C2699"/>
    <mergeCell ref="B2690:C2690"/>
    <mergeCell ref="B2668:C2668"/>
    <mergeCell ref="B2616:C2616"/>
    <mergeCell ref="B2333:C2333"/>
    <mergeCell ref="B2315:C2315"/>
    <mergeCell ref="B2285:C2285"/>
    <mergeCell ref="B2242:C2242"/>
    <mergeCell ref="B2202:C2202"/>
    <mergeCell ref="B2199:C2199"/>
    <mergeCell ref="B2188:C2188"/>
    <mergeCell ref="B2169:C2169"/>
    <mergeCell ref="B2148:C2148"/>
    <mergeCell ref="B2146:C2146"/>
    <mergeCell ref="B2129:C2129"/>
    <mergeCell ref="B2113:C2113"/>
    <mergeCell ref="B2097:C2097"/>
    <mergeCell ref="B2055:C2055"/>
    <mergeCell ref="B2065:C2065"/>
    <mergeCell ref="B1856:C1856"/>
    <mergeCell ref="B1837:C1837"/>
    <mergeCell ref="B1790:C1790"/>
    <mergeCell ref="B1523:C1523"/>
    <mergeCell ref="B1470:C1470"/>
    <mergeCell ref="B1441:C1441"/>
    <mergeCell ref="B1404:C1404"/>
    <mergeCell ref="B1386:C1386"/>
    <mergeCell ref="B2053:C2053"/>
    <mergeCell ref="B2002:C2002"/>
    <mergeCell ref="B1902:C1902"/>
    <mergeCell ref="B1890:C1890"/>
    <mergeCell ref="B1891:C1891"/>
    <mergeCell ref="B1875:C1875"/>
    <mergeCell ref="B1869:C1869"/>
    <mergeCell ref="B1865:C1865"/>
    <mergeCell ref="B1862:C1862"/>
    <mergeCell ref="B1374:C1374"/>
    <mergeCell ref="B1366:C1366"/>
    <mergeCell ref="B1360:C1360"/>
    <mergeCell ref="B1347:C1347"/>
    <mergeCell ref="B1323:C1323"/>
    <mergeCell ref="B1288:C1288"/>
    <mergeCell ref="B1269:C1269"/>
    <mergeCell ref="B1193:C1193"/>
    <mergeCell ref="B1186:C1186"/>
    <mergeCell ref="B1187:C1187"/>
    <mergeCell ref="B1342:C1342"/>
    <mergeCell ref="B1363:C1363"/>
    <mergeCell ref="B1296:C1296"/>
    <mergeCell ref="B222:C222"/>
    <mergeCell ref="B58:C58"/>
    <mergeCell ref="B72:C72"/>
    <mergeCell ref="B75:C75"/>
    <mergeCell ref="B84:C84"/>
    <mergeCell ref="B126:C126"/>
    <mergeCell ref="B130:C130"/>
    <mergeCell ref="B1096:C1096"/>
    <mergeCell ref="B1075:C1075"/>
    <mergeCell ref="B1069:C1069"/>
    <mergeCell ref="B1060:C1060"/>
    <mergeCell ref="B1054:C1054"/>
    <mergeCell ref="B265:C265"/>
    <mergeCell ref="B288:C288"/>
    <mergeCell ref="B366:C366"/>
    <mergeCell ref="B1018:C1018"/>
    <mergeCell ref="B1045:C1045"/>
    <mergeCell ref="B1052:C1052"/>
    <mergeCell ref="V4:V5"/>
    <mergeCell ref="W4:W5"/>
    <mergeCell ref="B148:C148"/>
    <mergeCell ref="B156:C156"/>
    <mergeCell ref="B166:C166"/>
    <mergeCell ref="B180:C180"/>
    <mergeCell ref="B183:C183"/>
    <mergeCell ref="B81:C81"/>
    <mergeCell ref="B153:C153"/>
    <mergeCell ref="B1384:C1384"/>
    <mergeCell ref="B1:AD1"/>
    <mergeCell ref="A3:A6"/>
    <mergeCell ref="B3:B6"/>
    <mergeCell ref="C3:C6"/>
    <mergeCell ref="D3:D5"/>
    <mergeCell ref="E3:T3"/>
    <mergeCell ref="E4:K4"/>
    <mergeCell ref="L4:M5"/>
    <mergeCell ref="N4:O5"/>
    <mergeCell ref="AD4:AD5"/>
    <mergeCell ref="B8:C8"/>
    <mergeCell ref="B9:AD9"/>
    <mergeCell ref="B10:C10"/>
    <mergeCell ref="B11:C11"/>
    <mergeCell ref="X4:X5"/>
    <mergeCell ref="Y4:Z5"/>
    <mergeCell ref="AA4:AA5"/>
    <mergeCell ref="AB4:AB5"/>
    <mergeCell ref="AC4:AC5"/>
    <mergeCell ref="P4:Q5"/>
    <mergeCell ref="R4:S5"/>
    <mergeCell ref="T4:T5"/>
    <mergeCell ref="U4:U5"/>
  </mergeCells>
  <pageMargins left="0.70866141732283472" right="0.70866141732283472" top="0.74803149606299213" bottom="0.74803149606299213" header="0.31496062992125984" footer="0.31496062992125984"/>
  <pageSetup paperSize="8" scale="23" firstPageNumber="64" fitToHeight="0" orientation="landscape" useFirstPageNumber="1" horizontalDpi="4294967295" verticalDpi="4294967295" r:id="rId1"/>
  <headerFooter>
    <oddHeader>&amp;C&amp;P</oddHeader>
  </headerFooter>
  <rowBreaks count="5" manualBreakCount="5">
    <brk id="55" max="16383" man="1"/>
    <brk id="287" max="29" man="1"/>
    <brk id="1839" max="29" man="1"/>
    <brk id="1888" max="29" man="1"/>
    <brk id="2241" max="29" man="1"/>
  </rowBreaks>
  <ignoredErrors>
    <ignoredError sqref="E1904 E1898" formulaRange="1"/>
    <ignoredError sqref="O1898" formula="1"/>
    <ignoredError sqref="E1899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Евтихов Юрий Николаевич</dc:creator>
  <cp:lastModifiedBy>Фролов Алексей Валерьевич</cp:lastModifiedBy>
  <cp:lastPrinted>2025-10-03T14:31:14Z</cp:lastPrinted>
  <dcterms:created xsi:type="dcterms:W3CDTF">2025-02-11T10:35:28Z</dcterms:created>
  <dcterms:modified xsi:type="dcterms:W3CDTF">2025-10-07T12:08:32Z</dcterms:modified>
</cp:coreProperties>
</file>